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odgov-my.sharepoint.com/personal/neil_chappell_food_gov_uk/Documents/Desktop/"/>
    </mc:Choice>
  </mc:AlternateContent>
  <xr:revisionPtr revIDLastSave="0" documentId="8_{0AC6BE9B-BF9E-4411-A3A2-90320F16D07D}" xr6:coauthVersionLast="47" xr6:coauthVersionMax="47" xr10:uidLastSave="{00000000-0000-0000-0000-000000000000}"/>
  <bookViews>
    <workbookView xWindow="-110" yWindow="-110" windowWidth="19420" windowHeight="10300" tabRatio="787" xr2:uid="{00000000-000D-0000-FFFF-FFFF00000000}"/>
  </bookViews>
  <sheets>
    <sheet name="Game Handling Establishments" sheetId="27" r:id="rId1"/>
    <sheet name="Period GHE data" sheetId="3" state="hidden" r:id="rId2"/>
    <sheet name="Charging GHE Spilt per grade" sheetId="7" state="hidden" r:id="rId3"/>
    <sheet name="GHE Invoice" sheetId="12" state="hidden" r:id="rId4"/>
    <sheet name="Poultry Slaughterhouse" sheetId="36" r:id="rId5"/>
    <sheet name="Period PSL data" sheetId="33" state="hidden" r:id="rId6"/>
    <sheet name="PSL discount calculation" sheetId="34" state="hidden" r:id="rId7"/>
    <sheet name="PSL Invoice " sheetId="35" state="hidden" r:id="rId8"/>
    <sheet name="Red Meat Slaughterhouse" sheetId="29" r:id="rId9"/>
    <sheet name="Period RSL data" sheetId="30" state="hidden" r:id="rId10"/>
    <sheet name="Charging RSL Spilt per grade" sheetId="31" state="hidden" r:id="rId11"/>
    <sheet name="RSL new Invoice" sheetId="32" state="hidden" r:id="rId12"/>
    <sheet name="Annual data (rates, Bands, disc" sheetId="28" state="hidden" r:id="rId13"/>
  </sheets>
  <externalReferences>
    <externalReference r:id="rId14"/>
  </externalReferences>
  <definedNames>
    <definedName name="_xlnm._FilterDatabase" localSheetId="11" hidden="1">'RSL new Invoice'!$A$2:$S$39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33" l="1"/>
  <c r="D20" i="3"/>
  <c r="D19" i="3"/>
  <c r="D5" i="3"/>
  <c r="E19" i="30"/>
  <c r="F19" i="30"/>
  <c r="G19" i="30"/>
  <c r="J19" i="30"/>
  <c r="M19" i="30"/>
  <c r="N19" i="30"/>
  <c r="O19" i="30"/>
  <c r="E20" i="30"/>
  <c r="F20" i="30"/>
  <c r="G20" i="30"/>
  <c r="J20" i="30"/>
  <c r="M20" i="30"/>
  <c r="N20" i="30"/>
  <c r="O20" i="30"/>
  <c r="E21" i="30"/>
  <c r="F21" i="30"/>
  <c r="G21" i="30"/>
  <c r="J21" i="30"/>
  <c r="M21" i="30"/>
  <c r="N21" i="30"/>
  <c r="O21" i="30"/>
  <c r="E22" i="30"/>
  <c r="F22" i="30"/>
  <c r="G22" i="30"/>
  <c r="J22" i="30"/>
  <c r="M22" i="30"/>
  <c r="N22" i="30"/>
  <c r="O22" i="30"/>
  <c r="E23" i="30"/>
  <c r="F23" i="30"/>
  <c r="G23" i="30"/>
  <c r="J23" i="30"/>
  <c r="M23" i="30"/>
  <c r="N23" i="30"/>
  <c r="O23" i="30"/>
  <c r="E24" i="30"/>
  <c r="F24" i="30"/>
  <c r="G24" i="30"/>
  <c r="J24" i="30"/>
  <c r="M24" i="30"/>
  <c r="N24" i="30"/>
  <c r="O24" i="30"/>
  <c r="E25" i="30"/>
  <c r="F25" i="30"/>
  <c r="G25" i="30"/>
  <c r="J25" i="30"/>
  <c r="M25" i="30"/>
  <c r="N25" i="30"/>
  <c r="O25" i="30"/>
  <c r="E26" i="30"/>
  <c r="F26" i="30"/>
  <c r="G26" i="30"/>
  <c r="J26" i="30"/>
  <c r="M26" i="30"/>
  <c r="N26" i="30"/>
  <c r="O26" i="30"/>
  <c r="E27" i="30"/>
  <c r="F27" i="30"/>
  <c r="G27" i="30"/>
  <c r="J27" i="30"/>
  <c r="M27" i="30"/>
  <c r="N27" i="30"/>
  <c r="O27" i="30"/>
  <c r="E28" i="30"/>
  <c r="F28" i="30"/>
  <c r="G28" i="30"/>
  <c r="J28" i="30"/>
  <c r="M28" i="30"/>
  <c r="N28" i="30"/>
  <c r="O28" i="30"/>
  <c r="E29" i="30"/>
  <c r="F29" i="30"/>
  <c r="G29" i="30"/>
  <c r="J29" i="30"/>
  <c r="M29" i="30"/>
  <c r="N29" i="30"/>
  <c r="O29" i="30"/>
  <c r="D20" i="30"/>
  <c r="D21" i="30"/>
  <c r="D22" i="30"/>
  <c r="D23" i="30"/>
  <c r="D24" i="30"/>
  <c r="D25" i="30"/>
  <c r="D26" i="30"/>
  <c r="D27" i="30"/>
  <c r="D28" i="30"/>
  <c r="D29" i="30"/>
  <c r="D19" i="30"/>
  <c r="C27" i="30"/>
  <c r="C42" i="29"/>
  <c r="E18" i="33"/>
  <c r="F18" i="33"/>
  <c r="G18" i="33"/>
  <c r="J18" i="33"/>
  <c r="M18" i="33"/>
  <c r="N18" i="33"/>
  <c r="O18" i="33"/>
  <c r="E19" i="33"/>
  <c r="F19" i="33"/>
  <c r="G19" i="33"/>
  <c r="J19" i="33"/>
  <c r="M19" i="33"/>
  <c r="N19" i="33"/>
  <c r="O19" i="33"/>
  <c r="E20" i="33"/>
  <c r="F20" i="33"/>
  <c r="G20" i="33"/>
  <c r="J20" i="33"/>
  <c r="M20" i="33"/>
  <c r="N20" i="33"/>
  <c r="O20" i="33"/>
  <c r="E21" i="33"/>
  <c r="F21" i="33"/>
  <c r="G21" i="33"/>
  <c r="J21" i="33"/>
  <c r="M21" i="33"/>
  <c r="N21" i="33"/>
  <c r="O21" i="33"/>
  <c r="E22" i="33"/>
  <c r="F22" i="33"/>
  <c r="G22" i="33"/>
  <c r="J22" i="33"/>
  <c r="M22" i="33"/>
  <c r="N22" i="33"/>
  <c r="O22" i="33"/>
  <c r="E23" i="33"/>
  <c r="F23" i="33"/>
  <c r="G23" i="33"/>
  <c r="J23" i="33"/>
  <c r="M23" i="33"/>
  <c r="N23" i="33"/>
  <c r="O23" i="33"/>
  <c r="E24" i="33"/>
  <c r="F24" i="33"/>
  <c r="G24" i="33"/>
  <c r="J24" i="33"/>
  <c r="M24" i="33"/>
  <c r="N24" i="33"/>
  <c r="O24" i="33"/>
  <c r="E25" i="33"/>
  <c r="F25" i="33"/>
  <c r="G25" i="33"/>
  <c r="J25" i="33"/>
  <c r="M25" i="33"/>
  <c r="N25" i="33"/>
  <c r="O25" i="33"/>
  <c r="E26" i="33"/>
  <c r="F26" i="33"/>
  <c r="G26" i="33"/>
  <c r="J26" i="33"/>
  <c r="M26" i="33"/>
  <c r="N26" i="33"/>
  <c r="O26" i="33"/>
  <c r="D19" i="33"/>
  <c r="D20" i="33"/>
  <c r="D21" i="33"/>
  <c r="D22" i="33"/>
  <c r="D23" i="33"/>
  <c r="D24" i="33"/>
  <c r="D25" i="33"/>
  <c r="D26" i="33"/>
  <c r="D42" i="36"/>
  <c r="C26" i="33"/>
  <c r="C41" i="36"/>
  <c r="C40" i="36"/>
  <c r="D26" i="3"/>
  <c r="D25" i="3"/>
  <c r="D27" i="3"/>
  <c r="D21" i="3"/>
  <c r="D22" i="3"/>
  <c r="D23" i="3"/>
  <c r="D24" i="3"/>
  <c r="E26" i="3"/>
  <c r="F26" i="3"/>
  <c r="G26" i="3"/>
  <c r="J26" i="3"/>
  <c r="M26" i="3"/>
  <c r="N26" i="3"/>
  <c r="O26" i="3"/>
  <c r="E27" i="3"/>
  <c r="F27" i="3"/>
  <c r="G27" i="3"/>
  <c r="J27" i="3"/>
  <c r="M27" i="3"/>
  <c r="N27" i="3"/>
  <c r="O27" i="3"/>
  <c r="C27" i="3"/>
  <c r="C26" i="3"/>
  <c r="D42" i="27"/>
  <c r="C41" i="27"/>
  <c r="C40" i="27"/>
  <c r="C36" i="27"/>
  <c r="D32" i="27"/>
  <c r="D45" i="29"/>
  <c r="I7" i="28" l="1"/>
  <c r="H4" i="28"/>
  <c r="H5" i="28"/>
  <c r="H6" i="28"/>
  <c r="H7" i="28"/>
  <c r="C45" i="27"/>
  <c r="C45" i="36"/>
  <c r="C48" i="29"/>
  <c r="B38" i="28"/>
  <c r="B37" i="28"/>
  <c r="D4" i="28" l="1"/>
  <c r="D5" i="28"/>
  <c r="D6" i="28"/>
  <c r="D7" i="28"/>
  <c r="D3" i="28"/>
  <c r="C28" i="30"/>
  <c r="C29" i="30"/>
  <c r="C43" i="29"/>
  <c r="C44" i="29"/>
  <c r="I43" i="29" l="1"/>
  <c r="I43" i="36"/>
  <c r="I43" i="27"/>
  <c r="J43" i="29" l="1"/>
  <c r="D49" i="29"/>
  <c r="D46" i="27"/>
  <c r="J43" i="27"/>
  <c r="D46" i="36"/>
  <c r="J43" i="36"/>
  <c r="C22" i="29" l="1"/>
  <c r="G36" i="29" l="1"/>
  <c r="G30" i="29"/>
  <c r="G24" i="29"/>
  <c r="G18" i="29"/>
  <c r="G12" i="29"/>
  <c r="G6" i="29"/>
  <c r="G36" i="36"/>
  <c r="G30" i="36"/>
  <c r="G24" i="36"/>
  <c r="G18" i="36"/>
  <c r="G12" i="36"/>
  <c r="G6" i="36"/>
  <c r="G56" i="29"/>
  <c r="G53" i="29"/>
  <c r="G50" i="29"/>
  <c r="G54" i="36"/>
  <c r="G51" i="36"/>
  <c r="G48" i="36"/>
  <c r="G36" i="27"/>
  <c r="G30" i="27"/>
  <c r="G24" i="27"/>
  <c r="G18" i="27"/>
  <c r="G12" i="27"/>
  <c r="G6" i="27"/>
  <c r="E4" i="3" l="1"/>
  <c r="F4" i="3"/>
  <c r="G4" i="3"/>
  <c r="H4" i="3"/>
  <c r="I4" i="3"/>
  <c r="J4" i="3"/>
  <c r="K4" i="3"/>
  <c r="L4" i="3"/>
  <c r="M4" i="3"/>
  <c r="N4" i="3"/>
  <c r="O4" i="3"/>
  <c r="D4" i="3"/>
  <c r="E4" i="33"/>
  <c r="F4" i="33"/>
  <c r="G4" i="33"/>
  <c r="H4" i="33"/>
  <c r="I4" i="33"/>
  <c r="J4" i="33"/>
  <c r="K4" i="33"/>
  <c r="L4" i="33"/>
  <c r="M4" i="33"/>
  <c r="N4" i="33"/>
  <c r="O4" i="33"/>
  <c r="D4" i="33"/>
  <c r="E4" i="30"/>
  <c r="F4" i="30"/>
  <c r="G4" i="30"/>
  <c r="H4" i="30"/>
  <c r="I4" i="30"/>
  <c r="J4" i="30"/>
  <c r="K4" i="30"/>
  <c r="L4" i="30"/>
  <c r="M4" i="30"/>
  <c r="N4" i="30"/>
  <c r="O4" i="30"/>
  <c r="D4" i="30"/>
  <c r="L20" i="30" l="1"/>
  <c r="L23" i="30"/>
  <c r="L26" i="30"/>
  <c r="L28" i="30"/>
  <c r="L19" i="30"/>
  <c r="L24" i="30"/>
  <c r="L27" i="30"/>
  <c r="L21" i="30"/>
  <c r="L22" i="30"/>
  <c r="L25" i="30"/>
  <c r="L29" i="30"/>
  <c r="L27" i="3"/>
  <c r="L26" i="3"/>
  <c r="L19" i="33"/>
  <c r="L22" i="33"/>
  <c r="L25" i="33"/>
  <c r="L20" i="33"/>
  <c r="L21" i="33"/>
  <c r="L24" i="33"/>
  <c r="L18" i="33"/>
  <c r="L23" i="33"/>
  <c r="L26" i="33"/>
  <c r="K26" i="3"/>
  <c r="K27" i="3"/>
  <c r="K26" i="30"/>
  <c r="K27" i="30"/>
  <c r="K19" i="30"/>
  <c r="K20" i="30"/>
  <c r="K28" i="30"/>
  <c r="K21" i="30"/>
  <c r="K29" i="30"/>
  <c r="K22" i="30"/>
  <c r="K23" i="30"/>
  <c r="K24" i="30"/>
  <c r="K25" i="30"/>
  <c r="K25" i="33"/>
  <c r="K18" i="33"/>
  <c r="K19" i="33"/>
  <c r="K20" i="33"/>
  <c r="K21" i="33"/>
  <c r="K22" i="33"/>
  <c r="K23" i="33"/>
  <c r="K24" i="33"/>
  <c r="K26" i="33"/>
  <c r="I19" i="30"/>
  <c r="I23" i="30"/>
  <c r="I27" i="30"/>
  <c r="I20" i="30"/>
  <c r="I24" i="30"/>
  <c r="I28" i="30"/>
  <c r="I21" i="30"/>
  <c r="I25" i="30"/>
  <c r="I29" i="30"/>
  <c r="I22" i="30"/>
  <c r="I26" i="30"/>
  <c r="I26" i="3"/>
  <c r="I27" i="3"/>
  <c r="I21" i="33"/>
  <c r="I25" i="33"/>
  <c r="I18" i="33"/>
  <c r="I22" i="33"/>
  <c r="I26" i="33"/>
  <c r="I19" i="33"/>
  <c r="I23" i="33"/>
  <c r="I20" i="33"/>
  <c r="I24" i="33"/>
  <c r="H24" i="33"/>
  <c r="H19" i="33"/>
  <c r="H22" i="33"/>
  <c r="H25" i="33"/>
  <c r="H20" i="33"/>
  <c r="H23" i="33"/>
  <c r="H26" i="33"/>
  <c r="H18" i="33"/>
  <c r="H21" i="33"/>
  <c r="H19" i="30"/>
  <c r="H27" i="30"/>
  <c r="H22" i="30"/>
  <c r="H25" i="30"/>
  <c r="H20" i="30"/>
  <c r="H28" i="30"/>
  <c r="H23" i="30"/>
  <c r="H26" i="30"/>
  <c r="H21" i="30"/>
  <c r="H29" i="30"/>
  <c r="H24" i="30"/>
  <c r="H26" i="3"/>
  <c r="H27" i="3"/>
  <c r="N7" i="30"/>
  <c r="N7" i="3"/>
  <c r="N20" i="3"/>
  <c r="N22" i="3"/>
  <c r="N6" i="3"/>
  <c r="N19" i="3"/>
  <c r="N21" i="3"/>
  <c r="N24" i="3"/>
  <c r="N23" i="3"/>
  <c r="N25" i="3"/>
  <c r="M7" i="30"/>
  <c r="M8" i="30"/>
  <c r="M20" i="3"/>
  <c r="M22" i="3"/>
  <c r="M24" i="3"/>
  <c r="M23" i="3"/>
  <c r="M6" i="3"/>
  <c r="M19" i="3"/>
  <c r="M21" i="3"/>
  <c r="M25" i="3"/>
  <c r="M7" i="3"/>
  <c r="L7" i="30"/>
  <c r="L6" i="3"/>
  <c r="L19" i="3"/>
  <c r="L21" i="3"/>
  <c r="L23" i="3"/>
  <c r="L25" i="3"/>
  <c r="L7" i="3"/>
  <c r="L20" i="3"/>
  <c r="L22" i="3"/>
  <c r="L24" i="3"/>
  <c r="F7" i="30"/>
  <c r="F7" i="3"/>
  <c r="F20" i="3"/>
  <c r="F22" i="3"/>
  <c r="F24" i="3"/>
  <c r="F25" i="3"/>
  <c r="F6" i="3"/>
  <c r="F19" i="3"/>
  <c r="F23" i="3"/>
  <c r="F21" i="3"/>
  <c r="J7" i="30"/>
  <c r="J8" i="30"/>
  <c r="I21" i="3"/>
  <c r="I23" i="3"/>
  <c r="I25" i="3"/>
  <c r="I22" i="3"/>
  <c r="I7" i="3"/>
  <c r="I20" i="3"/>
  <c r="I24" i="3"/>
  <c r="I6" i="3"/>
  <c r="I19" i="3"/>
  <c r="E7" i="30"/>
  <c r="E8" i="30"/>
  <c r="K7" i="30"/>
  <c r="K6" i="3"/>
  <c r="K21" i="3"/>
  <c r="K23" i="3"/>
  <c r="K25" i="3"/>
  <c r="K7" i="3"/>
  <c r="K20" i="3"/>
  <c r="K22" i="3"/>
  <c r="K24" i="3"/>
  <c r="K19" i="3"/>
  <c r="J6" i="3"/>
  <c r="J19" i="3"/>
  <c r="J21" i="3"/>
  <c r="J23" i="3"/>
  <c r="J25" i="3"/>
  <c r="J22" i="3"/>
  <c r="J7" i="3"/>
  <c r="J20" i="3"/>
  <c r="J24" i="3"/>
  <c r="I7" i="30"/>
  <c r="H7" i="30"/>
  <c r="H8" i="30"/>
  <c r="D7" i="3"/>
  <c r="D6" i="3"/>
  <c r="H7" i="3"/>
  <c r="H20" i="3"/>
  <c r="H22" i="3"/>
  <c r="H24" i="3"/>
  <c r="H6" i="3"/>
  <c r="H19" i="3"/>
  <c r="H21" i="3"/>
  <c r="H23" i="3"/>
  <c r="H25" i="3"/>
  <c r="O7" i="30"/>
  <c r="G7" i="30"/>
  <c r="O7" i="3"/>
  <c r="O20" i="3"/>
  <c r="O22" i="3"/>
  <c r="O24" i="3"/>
  <c r="O6" i="3"/>
  <c r="O19" i="3"/>
  <c r="O21" i="3"/>
  <c r="O23" i="3"/>
  <c r="O25" i="3"/>
  <c r="G7" i="3"/>
  <c r="G20" i="3"/>
  <c r="G22" i="3"/>
  <c r="G24" i="3"/>
  <c r="G19" i="3"/>
  <c r="G6" i="3"/>
  <c r="G21" i="3"/>
  <c r="G23" i="3"/>
  <c r="G25" i="3"/>
  <c r="E20" i="3"/>
  <c r="E22" i="3"/>
  <c r="E24" i="3"/>
  <c r="E21" i="3"/>
  <c r="E25" i="3"/>
  <c r="E6" i="3"/>
  <c r="E19" i="3"/>
  <c r="E23" i="3"/>
  <c r="E7" i="3"/>
  <c r="D9" i="30"/>
  <c r="D10" i="30"/>
  <c r="D7" i="30"/>
  <c r="D8" i="30"/>
  <c r="C19" i="33"/>
  <c r="C20" i="33"/>
  <c r="C21" i="33"/>
  <c r="C22" i="33"/>
  <c r="C23" i="33"/>
  <c r="C24" i="33"/>
  <c r="C25" i="33"/>
  <c r="C18" i="33"/>
  <c r="E27" i="33" l="1"/>
  <c r="D27" i="33"/>
  <c r="D12" i="30"/>
  <c r="B36" i="34"/>
  <c r="B37" i="35" s="1"/>
  <c r="B30" i="34"/>
  <c r="B31" i="35" s="1"/>
  <c r="B24" i="34"/>
  <c r="B25" i="35" s="1"/>
  <c r="B18" i="34"/>
  <c r="B19" i="35" s="1"/>
  <c r="B12" i="34"/>
  <c r="B13" i="35" s="1"/>
  <c r="B6" i="34"/>
  <c r="B7" i="35" s="1"/>
  <c r="E5" i="33"/>
  <c r="F5" i="33"/>
  <c r="G5" i="33"/>
  <c r="H5" i="33"/>
  <c r="I5" i="33"/>
  <c r="J5" i="33"/>
  <c r="K5" i="33"/>
  <c r="L5" i="33"/>
  <c r="M5" i="33"/>
  <c r="N5" i="33"/>
  <c r="O5" i="33"/>
  <c r="E6" i="33"/>
  <c r="F6" i="33"/>
  <c r="G6" i="33"/>
  <c r="H6" i="33"/>
  <c r="I6" i="33"/>
  <c r="J6" i="33"/>
  <c r="K6" i="33"/>
  <c r="L6" i="33"/>
  <c r="M6" i="33"/>
  <c r="N6" i="33"/>
  <c r="O6" i="33"/>
  <c r="E7" i="33"/>
  <c r="F7" i="33"/>
  <c r="G7" i="33"/>
  <c r="H7" i="33"/>
  <c r="I7" i="33"/>
  <c r="J7" i="33"/>
  <c r="K7" i="33"/>
  <c r="L7" i="33"/>
  <c r="M7" i="33"/>
  <c r="N7" i="33"/>
  <c r="O7" i="33"/>
  <c r="E8" i="33"/>
  <c r="F8" i="33"/>
  <c r="G8" i="33"/>
  <c r="H8" i="33"/>
  <c r="I8" i="33"/>
  <c r="J8" i="33"/>
  <c r="K8" i="33"/>
  <c r="L8" i="33"/>
  <c r="M8" i="33"/>
  <c r="N8" i="33"/>
  <c r="O8" i="33"/>
  <c r="E9" i="33"/>
  <c r="F9" i="33"/>
  <c r="G9" i="33"/>
  <c r="H9" i="33"/>
  <c r="I9" i="33"/>
  <c r="J9" i="33"/>
  <c r="K9" i="33"/>
  <c r="L9" i="33"/>
  <c r="M9" i="33"/>
  <c r="N9" i="33"/>
  <c r="O9" i="33"/>
  <c r="E10" i="33"/>
  <c r="F10" i="33"/>
  <c r="G10" i="33"/>
  <c r="H10" i="33"/>
  <c r="I10" i="33"/>
  <c r="J10" i="33"/>
  <c r="K10" i="33"/>
  <c r="L10" i="33"/>
  <c r="M10" i="33"/>
  <c r="N10" i="33"/>
  <c r="O10" i="33"/>
  <c r="D10" i="33"/>
  <c r="D9" i="33"/>
  <c r="D8" i="33"/>
  <c r="D7" i="33"/>
  <c r="D6" i="33"/>
  <c r="D5" i="33"/>
  <c r="C8" i="33"/>
  <c r="D9" i="34" s="1"/>
  <c r="D10" i="35" s="1"/>
  <c r="C5" i="33"/>
  <c r="D6" i="34" s="1"/>
  <c r="C39" i="36"/>
  <c r="C38" i="36"/>
  <c r="C37" i="36"/>
  <c r="C36" i="36"/>
  <c r="C35" i="36"/>
  <c r="C34" i="36"/>
  <c r="C33" i="36"/>
  <c r="C25" i="36"/>
  <c r="C21" i="36"/>
  <c r="B36" i="31"/>
  <c r="B30" i="31"/>
  <c r="B24" i="31"/>
  <c r="B18" i="31"/>
  <c r="B12" i="31"/>
  <c r="B6" i="31"/>
  <c r="H40" i="36"/>
  <c r="H39" i="36"/>
  <c r="H38" i="36"/>
  <c r="H37" i="36"/>
  <c r="H36" i="36"/>
  <c r="H35" i="36"/>
  <c r="H34" i="36"/>
  <c r="D32" i="36"/>
  <c r="C32" i="36"/>
  <c r="H33" i="36"/>
  <c r="H32" i="36"/>
  <c r="H31" i="36"/>
  <c r="H30" i="36"/>
  <c r="H29" i="36"/>
  <c r="H28" i="36"/>
  <c r="D28" i="36"/>
  <c r="H27" i="36"/>
  <c r="H26" i="36"/>
  <c r="H25" i="36"/>
  <c r="H24" i="36"/>
  <c r="D24" i="36"/>
  <c r="H23" i="36"/>
  <c r="H22" i="36"/>
  <c r="H21" i="36"/>
  <c r="H20" i="36"/>
  <c r="H19" i="36"/>
  <c r="H18" i="36"/>
  <c r="H17" i="36"/>
  <c r="H16" i="36"/>
  <c r="H15" i="36"/>
  <c r="H14" i="36"/>
  <c r="H13" i="36"/>
  <c r="H12" i="36"/>
  <c r="H11" i="36"/>
  <c r="H10" i="36"/>
  <c r="H9" i="36"/>
  <c r="H8" i="36"/>
  <c r="H7" i="36"/>
  <c r="H6" i="36"/>
  <c r="H5" i="36"/>
  <c r="I3" i="36"/>
  <c r="C12" i="35"/>
  <c r="C11" i="35"/>
  <c r="C10" i="35"/>
  <c r="C9" i="35"/>
  <c r="C8" i="35"/>
  <c r="C7" i="35"/>
  <c r="C17" i="34"/>
  <c r="C18" i="35" s="1"/>
  <c r="C16" i="34"/>
  <c r="C15" i="34"/>
  <c r="C16" i="35" s="1"/>
  <c r="C14" i="34"/>
  <c r="C13" i="34"/>
  <c r="C14" i="35" s="1"/>
  <c r="C12" i="34"/>
  <c r="C13" i="35" s="1"/>
  <c r="I27" i="33" l="1"/>
  <c r="H27" i="33"/>
  <c r="J27" i="33"/>
  <c r="K27" i="33"/>
  <c r="L27" i="33"/>
  <c r="M27" i="33"/>
  <c r="O27" i="33"/>
  <c r="F27" i="33"/>
  <c r="N27" i="33"/>
  <c r="G27" i="33"/>
  <c r="D29" i="36"/>
  <c r="E11" i="33"/>
  <c r="P6" i="33"/>
  <c r="N11" i="33"/>
  <c r="J11" i="33"/>
  <c r="F11" i="33"/>
  <c r="K11" i="33"/>
  <c r="I11" i="33"/>
  <c r="D11" i="33"/>
  <c r="N12" i="33"/>
  <c r="J12" i="33"/>
  <c r="F12" i="33"/>
  <c r="P10" i="33"/>
  <c r="P8" i="33"/>
  <c r="H12" i="33"/>
  <c r="L12" i="33"/>
  <c r="M11" i="33"/>
  <c r="O12" i="33"/>
  <c r="K12" i="33"/>
  <c r="G12" i="33"/>
  <c r="G11" i="33"/>
  <c r="O11" i="33"/>
  <c r="P5" i="33"/>
  <c r="P7" i="33"/>
  <c r="P9" i="33"/>
  <c r="H11" i="33"/>
  <c r="L11" i="33"/>
  <c r="E12" i="33"/>
  <c r="I12" i="33"/>
  <c r="M12" i="33"/>
  <c r="D12" i="33"/>
  <c r="C21" i="34"/>
  <c r="C22" i="35" s="1"/>
  <c r="C23" i="34"/>
  <c r="C24" i="35" s="1"/>
  <c r="C18" i="34"/>
  <c r="C19" i="35" s="1"/>
  <c r="C19" i="34"/>
  <c r="C25" i="34" s="1"/>
  <c r="D15" i="34"/>
  <c r="E15" i="34" s="1"/>
  <c r="E16" i="35" s="1"/>
  <c r="E9" i="34"/>
  <c r="E10" i="35" s="1"/>
  <c r="F10" i="35" s="1"/>
  <c r="D7" i="35"/>
  <c r="E6" i="34"/>
  <c r="E7" i="35" s="1"/>
  <c r="D12" i="34"/>
  <c r="C15" i="35"/>
  <c r="C20" i="34"/>
  <c r="C17" i="35"/>
  <c r="C22" i="34"/>
  <c r="N13" i="33" l="1"/>
  <c r="O13" i="33"/>
  <c r="I13" i="33"/>
  <c r="H13" i="33"/>
  <c r="L13" i="33"/>
  <c r="K13" i="33"/>
  <c r="F13" i="33"/>
  <c r="E13" i="33"/>
  <c r="G13" i="33"/>
  <c r="M13" i="33"/>
  <c r="D13" i="33"/>
  <c r="J13" i="33"/>
  <c r="C27" i="34"/>
  <c r="C33" i="34" s="1"/>
  <c r="M28" i="33"/>
  <c r="M29" i="33" s="1"/>
  <c r="P45" i="35" s="1"/>
  <c r="G28" i="33"/>
  <c r="G29" i="33" s="1"/>
  <c r="J45" i="35" s="1"/>
  <c r="F28" i="33"/>
  <c r="F29" i="33" s="1"/>
  <c r="I45" i="35" s="1"/>
  <c r="O28" i="33"/>
  <c r="O29" i="33" s="1"/>
  <c r="R45" i="35" s="1"/>
  <c r="J28" i="33"/>
  <c r="J29" i="33" s="1"/>
  <c r="M45" i="35" s="1"/>
  <c r="N28" i="33"/>
  <c r="N29" i="33" s="1"/>
  <c r="Q45" i="35" s="1"/>
  <c r="P11" i="33"/>
  <c r="P12" i="33"/>
  <c r="E28" i="33"/>
  <c r="L28" i="33"/>
  <c r="L29" i="33" s="1"/>
  <c r="O45" i="35" s="1"/>
  <c r="I28" i="33"/>
  <c r="I29" i="33" s="1"/>
  <c r="L45" i="35" s="1"/>
  <c r="D28" i="33"/>
  <c r="D29" i="33" s="1"/>
  <c r="G45" i="35" s="1"/>
  <c r="H28" i="33"/>
  <c r="H29" i="33" s="1"/>
  <c r="K45" i="35" s="1"/>
  <c r="C20" i="35"/>
  <c r="C29" i="34"/>
  <c r="C30" i="35" s="1"/>
  <c r="C24" i="34"/>
  <c r="C25" i="35" s="1"/>
  <c r="D21" i="34"/>
  <c r="E21" i="34" s="1"/>
  <c r="E22" i="35" s="1"/>
  <c r="D16" i="35"/>
  <c r="F16" i="35" s="1"/>
  <c r="C28" i="35"/>
  <c r="C21" i="35"/>
  <c r="C26" i="34"/>
  <c r="F7" i="35"/>
  <c r="C26" i="35"/>
  <c r="C31" i="34"/>
  <c r="C23" i="35"/>
  <c r="C28" i="34"/>
  <c r="D13" i="35"/>
  <c r="D18" i="34"/>
  <c r="E12" i="34"/>
  <c r="E13" i="35" s="1"/>
  <c r="E29" i="33" l="1"/>
  <c r="H45" i="35" s="1"/>
  <c r="C30" i="34"/>
  <c r="C35" i="34"/>
  <c r="C41" i="34" s="1"/>
  <c r="C42" i="35" s="1"/>
  <c r="K28" i="33"/>
  <c r="K29" i="33" s="1"/>
  <c r="N45" i="35" s="1"/>
  <c r="P13" i="33"/>
  <c r="F13" i="35"/>
  <c r="D27" i="34"/>
  <c r="D28" i="35" s="1"/>
  <c r="D22" i="35"/>
  <c r="F22" i="35" s="1"/>
  <c r="C37" i="34"/>
  <c r="C38" i="35" s="1"/>
  <c r="C32" i="35"/>
  <c r="C31" i="35"/>
  <c r="C36" i="34"/>
  <c r="C37" i="35" s="1"/>
  <c r="C36" i="35"/>
  <c r="C27" i="35"/>
  <c r="C32" i="34"/>
  <c r="C34" i="35"/>
  <c r="C39" i="34"/>
  <c r="C40" i="35" s="1"/>
  <c r="D19" i="35"/>
  <c r="D24" i="34"/>
  <c r="E18" i="34"/>
  <c r="E19" i="35" s="1"/>
  <c r="C29" i="35"/>
  <c r="C34" i="34"/>
  <c r="S45" i="35" l="1"/>
  <c r="J41" i="36" s="1"/>
  <c r="E27" i="34"/>
  <c r="E28" i="35" s="1"/>
  <c r="F28" i="35" s="1"/>
  <c r="D33" i="34"/>
  <c r="D34" i="35" s="1"/>
  <c r="F19" i="35"/>
  <c r="C33" i="35"/>
  <c r="C38" i="34"/>
  <c r="C39" i="35" s="1"/>
  <c r="C35" i="35"/>
  <c r="C40" i="34"/>
  <c r="C41" i="35" s="1"/>
  <c r="D25" i="35"/>
  <c r="E24" i="34"/>
  <c r="E25" i="35" s="1"/>
  <c r="D30" i="34"/>
  <c r="E33" i="34" l="1"/>
  <c r="E34" i="35" s="1"/>
  <c r="F34" i="35" s="1"/>
  <c r="D39" i="34"/>
  <c r="E39" i="34" s="1"/>
  <c r="E40" i="35" s="1"/>
  <c r="F25" i="35"/>
  <c r="D31" i="35"/>
  <c r="E30" i="34"/>
  <c r="E31" i="35" s="1"/>
  <c r="D36" i="34"/>
  <c r="D40" i="35" l="1"/>
  <c r="F40" i="35" s="1"/>
  <c r="F31" i="35"/>
  <c r="D37" i="35"/>
  <c r="E36" i="34"/>
  <c r="E37" i="35" s="1"/>
  <c r="F37" i="35" l="1"/>
  <c r="C41" i="29" l="1"/>
  <c r="C40" i="29"/>
  <c r="C39" i="29"/>
  <c r="C38" i="29"/>
  <c r="C37" i="29"/>
  <c r="C36" i="29"/>
  <c r="C35" i="29"/>
  <c r="C34" i="29"/>
  <c r="C26" i="29"/>
  <c r="C8" i="30"/>
  <c r="D9" i="31" s="1"/>
  <c r="D15" i="31" s="1"/>
  <c r="C5" i="30"/>
  <c r="D6" i="31" s="1"/>
  <c r="D3" i="32" s="1"/>
  <c r="C20" i="30"/>
  <c r="C21" i="30"/>
  <c r="C22" i="30"/>
  <c r="C23" i="30"/>
  <c r="C24" i="30"/>
  <c r="C25" i="30"/>
  <c r="C26" i="30"/>
  <c r="C19" i="30"/>
  <c r="E5" i="30"/>
  <c r="F5" i="30"/>
  <c r="G5" i="30"/>
  <c r="H5" i="30"/>
  <c r="I5" i="30"/>
  <c r="J5" i="30"/>
  <c r="K5" i="30"/>
  <c r="L5" i="30"/>
  <c r="M5" i="30"/>
  <c r="N5" i="30"/>
  <c r="O5" i="30"/>
  <c r="E6" i="30"/>
  <c r="F6" i="30"/>
  <c r="G6" i="30"/>
  <c r="H6" i="30"/>
  <c r="I6" i="30"/>
  <c r="J6" i="30"/>
  <c r="K6" i="30"/>
  <c r="L6" i="30"/>
  <c r="M6" i="30"/>
  <c r="N6" i="30"/>
  <c r="O6" i="30"/>
  <c r="F8" i="30"/>
  <c r="G8" i="30"/>
  <c r="I8" i="30"/>
  <c r="K8" i="30"/>
  <c r="L8" i="30"/>
  <c r="N8" i="30"/>
  <c r="O8" i="30"/>
  <c r="E9" i="30"/>
  <c r="F9" i="30"/>
  <c r="G9" i="30"/>
  <c r="H9" i="30"/>
  <c r="I9" i="30"/>
  <c r="J9" i="30"/>
  <c r="K9" i="30"/>
  <c r="L9" i="30"/>
  <c r="M9" i="30"/>
  <c r="N9" i="30"/>
  <c r="O9" i="30"/>
  <c r="E10" i="30"/>
  <c r="F10" i="30"/>
  <c r="G10" i="30"/>
  <c r="H10" i="30"/>
  <c r="I10" i="30"/>
  <c r="J10" i="30"/>
  <c r="K10" i="30"/>
  <c r="L10" i="30"/>
  <c r="M10" i="30"/>
  <c r="N10" i="30"/>
  <c r="O10" i="30"/>
  <c r="D6" i="30"/>
  <c r="D5" i="30"/>
  <c r="B33" i="32"/>
  <c r="B27" i="32"/>
  <c r="B21" i="32"/>
  <c r="B15" i="32"/>
  <c r="B9" i="32"/>
  <c r="C8" i="32"/>
  <c r="C7" i="32"/>
  <c r="C6" i="32"/>
  <c r="C5" i="32"/>
  <c r="C4" i="32"/>
  <c r="C3" i="32"/>
  <c r="B3" i="32"/>
  <c r="C41" i="31"/>
  <c r="C38" i="32" s="1"/>
  <c r="C40" i="31"/>
  <c r="C37" i="32" s="1"/>
  <c r="C39" i="31"/>
  <c r="C36" i="32" s="1"/>
  <c r="C38" i="31"/>
  <c r="C35" i="32" s="1"/>
  <c r="C37" i="31"/>
  <c r="C34" i="32" s="1"/>
  <c r="C36" i="31"/>
  <c r="C33" i="32" s="1"/>
  <c r="C35" i="31"/>
  <c r="C32" i="32" s="1"/>
  <c r="C34" i="31"/>
  <c r="C31" i="32" s="1"/>
  <c r="C33" i="31"/>
  <c r="C30" i="32" s="1"/>
  <c r="C32" i="31"/>
  <c r="C29" i="32" s="1"/>
  <c r="C31" i="31"/>
  <c r="C28" i="32" s="1"/>
  <c r="C30" i="31"/>
  <c r="C27" i="32" s="1"/>
  <c r="C29" i="31"/>
  <c r="C26" i="32" s="1"/>
  <c r="C28" i="31"/>
  <c r="C25" i="32" s="1"/>
  <c r="C27" i="31"/>
  <c r="C24" i="32" s="1"/>
  <c r="C26" i="31"/>
  <c r="C23" i="32" s="1"/>
  <c r="C25" i="31"/>
  <c r="C22" i="32" s="1"/>
  <c r="C24" i="31"/>
  <c r="C21" i="32" s="1"/>
  <c r="C23" i="31"/>
  <c r="C20" i="32" s="1"/>
  <c r="C22" i="31"/>
  <c r="C19" i="32" s="1"/>
  <c r="C21" i="31"/>
  <c r="C18" i="32" s="1"/>
  <c r="C20" i="31"/>
  <c r="C17" i="32" s="1"/>
  <c r="C19" i="31"/>
  <c r="C16" i="32" s="1"/>
  <c r="C18" i="31"/>
  <c r="C15" i="32" s="1"/>
  <c r="C17" i="31"/>
  <c r="C14" i="32" s="1"/>
  <c r="C16" i="31"/>
  <c r="C13" i="32" s="1"/>
  <c r="C15" i="31"/>
  <c r="C12" i="32" s="1"/>
  <c r="C14" i="31"/>
  <c r="C11" i="32" s="1"/>
  <c r="C13" i="31"/>
  <c r="C10" i="32" s="1"/>
  <c r="C12" i="31"/>
  <c r="C9" i="32" s="1"/>
  <c r="F30" i="30" l="1"/>
  <c r="O30" i="30"/>
  <c r="J30" i="30"/>
  <c r="G30" i="30"/>
  <c r="I30" i="30"/>
  <c r="D30" i="30"/>
  <c r="H30" i="30"/>
  <c r="M30" i="30"/>
  <c r="L30" i="30"/>
  <c r="E30" i="30"/>
  <c r="N30" i="30"/>
  <c r="K30" i="30"/>
  <c r="D11" i="30"/>
  <c r="D13" i="30" s="1"/>
  <c r="O11" i="30"/>
  <c r="K11" i="30"/>
  <c r="G11" i="30"/>
  <c r="I11" i="30"/>
  <c r="E11" i="30"/>
  <c r="M12" i="30"/>
  <c r="E12" i="30"/>
  <c r="N11" i="30"/>
  <c r="J11" i="30"/>
  <c r="F11" i="30"/>
  <c r="H11" i="30"/>
  <c r="E6" i="31"/>
  <c r="E3" i="32" s="1"/>
  <c r="F12" i="30"/>
  <c r="E9" i="31"/>
  <c r="D6" i="32"/>
  <c r="H12" i="30"/>
  <c r="M11" i="30"/>
  <c r="N12" i="30"/>
  <c r="D12" i="32"/>
  <c r="E15" i="31"/>
  <c r="L11" i="30"/>
  <c r="I12" i="30"/>
  <c r="D21" i="31"/>
  <c r="J12" i="30"/>
  <c r="L12" i="30"/>
  <c r="G12" i="30"/>
  <c r="K12" i="30"/>
  <c r="O12" i="30"/>
  <c r="D12" i="31"/>
  <c r="O13" i="30" l="1"/>
  <c r="H13" i="30"/>
  <c r="I13" i="30"/>
  <c r="D31" i="30"/>
  <c r="D32" i="30" s="1"/>
  <c r="F41" i="32" s="1"/>
  <c r="E6" i="32"/>
  <c r="K13" i="30"/>
  <c r="N13" i="30"/>
  <c r="E31" i="30"/>
  <c r="E32" i="30" s="1"/>
  <c r="G41" i="32" s="1"/>
  <c r="G31" i="30"/>
  <c r="G32" i="30" s="1"/>
  <c r="I41" i="32" s="1"/>
  <c r="N31" i="30"/>
  <c r="N32" i="30" s="1"/>
  <c r="P41" i="32" s="1"/>
  <c r="F13" i="30"/>
  <c r="G13" i="30"/>
  <c r="H31" i="30"/>
  <c r="H32" i="30" s="1"/>
  <c r="J41" i="32" s="1"/>
  <c r="M13" i="30"/>
  <c r="E13" i="30"/>
  <c r="J31" i="30"/>
  <c r="J32" i="30" s="1"/>
  <c r="L41" i="32" s="1"/>
  <c r="O31" i="30"/>
  <c r="O32" i="30" s="1"/>
  <c r="Q41" i="32" s="1"/>
  <c r="I31" i="30"/>
  <c r="I32" i="30" s="1"/>
  <c r="K41" i="32" s="1"/>
  <c r="L31" i="30"/>
  <c r="L32" i="30" s="1"/>
  <c r="N41" i="32" s="1"/>
  <c r="K31" i="30"/>
  <c r="K32" i="30" s="1"/>
  <c r="M41" i="32" s="1"/>
  <c r="F31" i="30"/>
  <c r="F32" i="30" s="1"/>
  <c r="H41" i="32" s="1"/>
  <c r="J13" i="30"/>
  <c r="E12" i="32"/>
  <c r="D27" i="31"/>
  <c r="D18" i="32"/>
  <c r="E21" i="31"/>
  <c r="D9" i="32"/>
  <c r="E12" i="31"/>
  <c r="D18" i="31"/>
  <c r="L13" i="30"/>
  <c r="M31" i="30" l="1"/>
  <c r="M32" i="30" s="1"/>
  <c r="O41" i="32" s="1"/>
  <c r="R41" i="32" s="1"/>
  <c r="J41" i="29" s="1"/>
  <c r="E18" i="32"/>
  <c r="E9" i="32"/>
  <c r="D15" i="32"/>
  <c r="E18" i="31"/>
  <c r="D24" i="31"/>
  <c r="D24" i="32"/>
  <c r="D33" i="31"/>
  <c r="E27" i="31"/>
  <c r="E24" i="32" l="1"/>
  <c r="D21" i="32"/>
  <c r="D30" i="31"/>
  <c r="E24" i="31"/>
  <c r="E15" i="32"/>
  <c r="D30" i="32"/>
  <c r="E33" i="31"/>
  <c r="D39" i="31"/>
  <c r="E30" i="32" l="1"/>
  <c r="D36" i="32"/>
  <c r="E39" i="31"/>
  <c r="D27" i="32"/>
  <c r="E30" i="31"/>
  <c r="D36" i="31"/>
  <c r="E21" i="32"/>
  <c r="E27" i="32" l="1"/>
  <c r="E36" i="32"/>
  <c r="D33" i="32"/>
  <c r="E36" i="31"/>
  <c r="E33" i="32" l="1"/>
  <c r="H40" i="29" l="1"/>
  <c r="H39" i="29"/>
  <c r="H38" i="29"/>
  <c r="H37" i="29"/>
  <c r="H36" i="29"/>
  <c r="H35" i="29"/>
  <c r="H34" i="29"/>
  <c r="H33" i="29"/>
  <c r="H32" i="29"/>
  <c r="H31" i="29"/>
  <c r="D33" i="29"/>
  <c r="C33" i="29"/>
  <c r="H30" i="29"/>
  <c r="H29" i="29"/>
  <c r="H28" i="29"/>
  <c r="H27" i="29"/>
  <c r="D29" i="29"/>
  <c r="H26" i="29"/>
  <c r="H25" i="29"/>
  <c r="H24" i="29"/>
  <c r="H23" i="29"/>
  <c r="D25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6" i="29"/>
  <c r="H5" i="29"/>
  <c r="I3" i="29"/>
  <c r="C8" i="3"/>
  <c r="C5" i="3"/>
  <c r="C20" i="3"/>
  <c r="C21" i="3"/>
  <c r="C22" i="3"/>
  <c r="C23" i="3"/>
  <c r="C24" i="3"/>
  <c r="C25" i="3"/>
  <c r="C19" i="3"/>
  <c r="B36" i="7"/>
  <c r="B30" i="7"/>
  <c r="B24" i="7"/>
  <c r="B18" i="7"/>
  <c r="B12" i="7"/>
  <c r="B6" i="7"/>
  <c r="C39" i="27"/>
  <c r="C38" i="27"/>
  <c r="C37" i="27"/>
  <c r="C35" i="27"/>
  <c r="C34" i="27"/>
  <c r="C33" i="27"/>
  <c r="C25" i="27"/>
  <c r="C21" i="27"/>
  <c r="B31" i="28"/>
  <c r="C27" i="27" s="1"/>
  <c r="B30" i="28"/>
  <c r="C9" i="3" s="1"/>
  <c r="B28" i="28"/>
  <c r="B27" i="28"/>
  <c r="C22" i="27" s="1"/>
  <c r="J7" i="28"/>
  <c r="F30" i="7" s="1"/>
  <c r="F30" i="34"/>
  <c r="F30" i="31"/>
  <c r="J6" i="28"/>
  <c r="F24" i="7" s="1"/>
  <c r="I6" i="28"/>
  <c r="F24" i="34" s="1"/>
  <c r="F24" i="31"/>
  <c r="J5" i="28"/>
  <c r="F18" i="7" s="1"/>
  <c r="I5" i="28"/>
  <c r="F18" i="34" s="1"/>
  <c r="F18" i="31"/>
  <c r="J4" i="28"/>
  <c r="F12" i="7" s="1"/>
  <c r="I4" i="28"/>
  <c r="F12" i="34" s="1"/>
  <c r="F12" i="31"/>
  <c r="J3" i="28"/>
  <c r="F6" i="7" s="1"/>
  <c r="I3" i="28"/>
  <c r="F6" i="34" s="1"/>
  <c r="H3" i="28"/>
  <c r="F6" i="31" s="1"/>
  <c r="E10" i="3"/>
  <c r="F10" i="3"/>
  <c r="G10" i="3"/>
  <c r="H10" i="3"/>
  <c r="I10" i="3"/>
  <c r="J10" i="3"/>
  <c r="K10" i="3"/>
  <c r="L10" i="3"/>
  <c r="M10" i="3"/>
  <c r="N10" i="3"/>
  <c r="O10" i="3"/>
  <c r="D10" i="3"/>
  <c r="E9" i="3"/>
  <c r="F9" i="3"/>
  <c r="G9" i="3"/>
  <c r="H9" i="3"/>
  <c r="I9" i="3"/>
  <c r="J9" i="3"/>
  <c r="K9" i="3"/>
  <c r="L9" i="3"/>
  <c r="M9" i="3"/>
  <c r="N9" i="3"/>
  <c r="O9" i="3"/>
  <c r="D9" i="3"/>
  <c r="E8" i="3"/>
  <c r="F8" i="3"/>
  <c r="G8" i="3"/>
  <c r="H8" i="3"/>
  <c r="I8" i="3"/>
  <c r="J8" i="3"/>
  <c r="K8" i="3"/>
  <c r="L8" i="3"/>
  <c r="M8" i="3"/>
  <c r="N8" i="3"/>
  <c r="O8" i="3"/>
  <c r="D8" i="3"/>
  <c r="F5" i="3"/>
  <c r="G5" i="3"/>
  <c r="H5" i="3"/>
  <c r="I5" i="3"/>
  <c r="J5" i="3"/>
  <c r="K5" i="3"/>
  <c r="L5" i="3"/>
  <c r="M5" i="3"/>
  <c r="N5" i="3"/>
  <c r="O5" i="3"/>
  <c r="E5" i="3"/>
  <c r="H40" i="27"/>
  <c r="H39" i="27"/>
  <c r="H38" i="27"/>
  <c r="H37" i="27"/>
  <c r="H36" i="27"/>
  <c r="H35" i="27"/>
  <c r="H34" i="27"/>
  <c r="H33" i="27"/>
  <c r="H32" i="27"/>
  <c r="H31" i="27"/>
  <c r="H30" i="27"/>
  <c r="H29" i="27"/>
  <c r="H28" i="27"/>
  <c r="C32" i="27"/>
  <c r="H27" i="27"/>
  <c r="H26" i="27"/>
  <c r="H25" i="27"/>
  <c r="H24" i="27"/>
  <c r="D28" i="27"/>
  <c r="H23" i="27"/>
  <c r="H22" i="27"/>
  <c r="H21" i="27"/>
  <c r="H20" i="27"/>
  <c r="D24" i="27"/>
  <c r="H19" i="27"/>
  <c r="H18" i="27"/>
  <c r="H17" i="27"/>
  <c r="H16" i="27"/>
  <c r="H15" i="27"/>
  <c r="H14" i="27"/>
  <c r="H13" i="27"/>
  <c r="H12" i="27"/>
  <c r="H11" i="27"/>
  <c r="H10" i="27"/>
  <c r="H9" i="27"/>
  <c r="H8" i="27"/>
  <c r="H7" i="27"/>
  <c r="H6" i="27"/>
  <c r="H5" i="27"/>
  <c r="I3" i="27"/>
  <c r="D28" i="3" l="1"/>
  <c r="D29" i="3" s="1"/>
  <c r="D30" i="3" s="1"/>
  <c r="F41" i="12" s="1"/>
  <c r="M28" i="3"/>
  <c r="O28" i="3"/>
  <c r="E28" i="3"/>
  <c r="K28" i="3"/>
  <c r="J28" i="3"/>
  <c r="L28" i="3"/>
  <c r="I28" i="3"/>
  <c r="N28" i="3"/>
  <c r="H28" i="3"/>
  <c r="F28" i="3"/>
  <c r="F29" i="3" s="1"/>
  <c r="G28" i="3"/>
  <c r="D29" i="27"/>
  <c r="G6" i="31"/>
  <c r="C7" i="33"/>
  <c r="D8" i="34" s="1"/>
  <c r="C23" i="36"/>
  <c r="C24" i="29"/>
  <c r="C7" i="30"/>
  <c r="D8" i="31" s="1"/>
  <c r="G6" i="34"/>
  <c r="C26" i="36"/>
  <c r="C9" i="33"/>
  <c r="D10" i="34" s="1"/>
  <c r="C27" i="29"/>
  <c r="C9" i="30"/>
  <c r="D10" i="31" s="1"/>
  <c r="C23" i="27"/>
  <c r="C10" i="33"/>
  <c r="D11" i="34" s="1"/>
  <c r="C27" i="36"/>
  <c r="C28" i="29"/>
  <c r="C10" i="30"/>
  <c r="D11" i="31" s="1"/>
  <c r="C7" i="3"/>
  <c r="C6" i="33"/>
  <c r="G47" i="35" s="1"/>
  <c r="C22" i="36"/>
  <c r="C23" i="29"/>
  <c r="C6" i="30"/>
  <c r="C26" i="27"/>
  <c r="C10" i="3"/>
  <c r="C6" i="3"/>
  <c r="D30" i="29"/>
  <c r="Q43" i="12" l="1"/>
  <c r="K29" i="3"/>
  <c r="K30" i="3" s="1"/>
  <c r="M41" i="12" s="1"/>
  <c r="F43" i="12"/>
  <c r="H43" i="12"/>
  <c r="K43" i="12"/>
  <c r="J43" i="12"/>
  <c r="M29" i="3"/>
  <c r="M30" i="3" s="1"/>
  <c r="O41" i="12" s="1"/>
  <c r="D7" i="31"/>
  <c r="M43" i="32"/>
  <c r="G43" i="32"/>
  <c r="P43" i="32"/>
  <c r="J43" i="32"/>
  <c r="L43" i="32"/>
  <c r="N43" i="32"/>
  <c r="H43" i="32"/>
  <c r="I43" i="32"/>
  <c r="Q43" i="32"/>
  <c r="K43" i="32"/>
  <c r="F43" i="32"/>
  <c r="O43" i="32"/>
  <c r="D11" i="35"/>
  <c r="D16" i="34"/>
  <c r="E10" i="34"/>
  <c r="E11" i="35" s="1"/>
  <c r="G7" i="34"/>
  <c r="G8" i="34" s="1"/>
  <c r="G9" i="34" s="1"/>
  <c r="G10" i="34" s="1"/>
  <c r="G12" i="34"/>
  <c r="G7" i="35"/>
  <c r="D9" i="35"/>
  <c r="E8" i="34"/>
  <c r="E9" i="35" s="1"/>
  <c r="D14" i="34"/>
  <c r="D14" i="31"/>
  <c r="E8" i="31"/>
  <c r="D5" i="32"/>
  <c r="D12" i="35"/>
  <c r="D17" i="34"/>
  <c r="E11" i="34"/>
  <c r="E12" i="35" s="1"/>
  <c r="D7" i="32"/>
  <c r="D16" i="31"/>
  <c r="E10" i="31"/>
  <c r="D7" i="34"/>
  <c r="L47" i="35"/>
  <c r="P47" i="35"/>
  <c r="I47" i="35"/>
  <c r="M47" i="35"/>
  <c r="K47" i="35"/>
  <c r="O47" i="35"/>
  <c r="H47" i="35"/>
  <c r="J47" i="35"/>
  <c r="R47" i="35"/>
  <c r="Q47" i="35"/>
  <c r="N47" i="35"/>
  <c r="D8" i="32"/>
  <c r="E11" i="31"/>
  <c r="D17" i="31"/>
  <c r="G7" i="31"/>
  <c r="G12" i="31"/>
  <c r="F3" i="32"/>
  <c r="N29" i="3"/>
  <c r="N30" i="3" s="1"/>
  <c r="P41" i="12" s="1"/>
  <c r="L29" i="3"/>
  <c r="L30" i="3" s="1"/>
  <c r="N41" i="12" s="1"/>
  <c r="J29" i="3"/>
  <c r="J30" i="3" s="1"/>
  <c r="L41" i="12" s="1"/>
  <c r="G29" i="3" l="1"/>
  <c r="G30" i="3" s="1"/>
  <c r="I41" i="12" s="1"/>
  <c r="O29" i="3"/>
  <c r="F30" i="3"/>
  <c r="H41" i="12" s="1"/>
  <c r="M43" i="12"/>
  <c r="I43" i="12"/>
  <c r="G18" i="34"/>
  <c r="G19" i="35" s="1"/>
  <c r="H29" i="3"/>
  <c r="H30" i="3" s="1"/>
  <c r="J41" i="12" s="1"/>
  <c r="L43" i="12"/>
  <c r="P43" i="12"/>
  <c r="O43" i="12"/>
  <c r="I29" i="3"/>
  <c r="I30" i="3" s="1"/>
  <c r="K41" i="12" s="1"/>
  <c r="D15" i="35"/>
  <c r="D20" i="34"/>
  <c r="E14" i="34"/>
  <c r="E15" i="35" s="1"/>
  <c r="G8" i="31"/>
  <c r="S47" i="35"/>
  <c r="D8" i="35"/>
  <c r="D13" i="34"/>
  <c r="E7" i="34"/>
  <c r="E8" i="35" s="1"/>
  <c r="E5" i="32"/>
  <c r="F9" i="35"/>
  <c r="G9" i="35" s="1"/>
  <c r="D17" i="35"/>
  <c r="D22" i="34"/>
  <c r="E16" i="34"/>
  <c r="E17" i="35" s="1"/>
  <c r="D13" i="32"/>
  <c r="E16" i="31"/>
  <c r="D22" i="31"/>
  <c r="D14" i="32"/>
  <c r="E17" i="31"/>
  <c r="D23" i="31"/>
  <c r="F12" i="35"/>
  <c r="G10" i="35"/>
  <c r="G13" i="34"/>
  <c r="G14" i="34" s="1"/>
  <c r="G13" i="35"/>
  <c r="F11" i="35"/>
  <c r="G11" i="35" s="1"/>
  <c r="G18" i="31"/>
  <c r="G13" i="31"/>
  <c r="F9" i="32"/>
  <c r="E8" i="32"/>
  <c r="E7" i="32"/>
  <c r="D23" i="34"/>
  <c r="D18" i="35"/>
  <c r="E17" i="34"/>
  <c r="E18" i="35" s="1"/>
  <c r="D11" i="32"/>
  <c r="D20" i="31"/>
  <c r="E14" i="31"/>
  <c r="G11" i="34"/>
  <c r="H6" i="34" s="1"/>
  <c r="R43" i="32"/>
  <c r="D4" i="32"/>
  <c r="E7" i="31"/>
  <c r="D13" i="31"/>
  <c r="N43" i="12"/>
  <c r="E29" i="3"/>
  <c r="E30" i="3" s="1"/>
  <c r="G41" i="12" s="1"/>
  <c r="O30" i="3" l="1"/>
  <c r="Q41" i="12" s="1"/>
  <c r="G14" i="31"/>
  <c r="E13" i="32"/>
  <c r="G24" i="34"/>
  <c r="E14" i="32"/>
  <c r="F17" i="35"/>
  <c r="G9" i="31"/>
  <c r="F18" i="35"/>
  <c r="E4" i="32"/>
  <c r="F4" i="32" s="1"/>
  <c r="D26" i="31"/>
  <c r="D17" i="32"/>
  <c r="E20" i="31"/>
  <c r="E23" i="34"/>
  <c r="E24" i="35" s="1"/>
  <c r="D24" i="35"/>
  <c r="D29" i="34"/>
  <c r="F15" i="32"/>
  <c r="G24" i="31"/>
  <c r="D26" i="34"/>
  <c r="E20" i="34"/>
  <c r="E21" i="35" s="1"/>
  <c r="D21" i="35"/>
  <c r="G19" i="31"/>
  <c r="D19" i="32"/>
  <c r="D28" i="31"/>
  <c r="E22" i="31"/>
  <c r="D19" i="34"/>
  <c r="E13" i="34"/>
  <c r="E14" i="35" s="1"/>
  <c r="D14" i="35"/>
  <c r="G12" i="35"/>
  <c r="E11" i="32"/>
  <c r="F15" i="35"/>
  <c r="G15" i="35" s="1"/>
  <c r="I6" i="34"/>
  <c r="D19" i="31"/>
  <c r="E13" i="31"/>
  <c r="D10" i="32"/>
  <c r="G15" i="34"/>
  <c r="G16" i="34" s="1"/>
  <c r="E23" i="31"/>
  <c r="D29" i="31"/>
  <c r="D20" i="32"/>
  <c r="G19" i="34"/>
  <c r="E22" i="34"/>
  <c r="E23" i="35" s="1"/>
  <c r="D28" i="34"/>
  <c r="D23" i="35"/>
  <c r="F8" i="35"/>
  <c r="G8" i="35" s="1"/>
  <c r="F5" i="32"/>
  <c r="G43" i="12"/>
  <c r="R41" i="12" l="1"/>
  <c r="J41" i="27" s="1"/>
  <c r="G10" i="31"/>
  <c r="F7" i="32" s="1"/>
  <c r="G15" i="31"/>
  <c r="G25" i="35"/>
  <c r="G30" i="34"/>
  <c r="E20" i="32"/>
  <c r="E19" i="32"/>
  <c r="F14" i="35"/>
  <c r="G14" i="35" s="1"/>
  <c r="F6" i="32"/>
  <c r="F23" i="35"/>
  <c r="F21" i="35"/>
  <c r="F24" i="35"/>
  <c r="D20" i="35"/>
  <c r="D25" i="34"/>
  <c r="E19" i="34"/>
  <c r="E20" i="35" s="1"/>
  <c r="E26" i="34"/>
  <c r="E27" i="35" s="1"/>
  <c r="D32" i="34"/>
  <c r="D27" i="35"/>
  <c r="G30" i="31"/>
  <c r="G25" i="31"/>
  <c r="F21" i="32"/>
  <c r="G17" i="35"/>
  <c r="E28" i="34"/>
  <c r="E29" i="35" s="1"/>
  <c r="D29" i="35"/>
  <c r="D34" i="34"/>
  <c r="D26" i="32"/>
  <c r="E29" i="31"/>
  <c r="D35" i="31"/>
  <c r="G20" i="31"/>
  <c r="F11" i="32"/>
  <c r="E10" i="32"/>
  <c r="F10" i="32" s="1"/>
  <c r="D35" i="34"/>
  <c r="E29" i="34"/>
  <c r="E30" i="35" s="1"/>
  <c r="D30" i="35"/>
  <c r="E17" i="32"/>
  <c r="I7" i="34"/>
  <c r="H7" i="35"/>
  <c r="D25" i="32"/>
  <c r="D34" i="31"/>
  <c r="E28" i="31"/>
  <c r="D23" i="32"/>
  <c r="D32" i="31"/>
  <c r="E26" i="31"/>
  <c r="G25" i="34"/>
  <c r="G20" i="34"/>
  <c r="G16" i="35"/>
  <c r="D16" i="32"/>
  <c r="E19" i="31"/>
  <c r="D25" i="31"/>
  <c r="G17" i="34"/>
  <c r="H12" i="34" s="1"/>
  <c r="D6" i="7"/>
  <c r="G11" i="31" l="1"/>
  <c r="H6" i="31" s="1"/>
  <c r="I6" i="31" s="1"/>
  <c r="G3" i="32" s="1"/>
  <c r="G36" i="34"/>
  <c r="G31" i="35"/>
  <c r="E16" i="32"/>
  <c r="F16" i="32" s="1"/>
  <c r="E23" i="32"/>
  <c r="E25" i="32"/>
  <c r="F20" i="35"/>
  <c r="G20" i="35" s="1"/>
  <c r="F17" i="32"/>
  <c r="D40" i="31"/>
  <c r="D31" i="32"/>
  <c r="E34" i="31"/>
  <c r="D22" i="32"/>
  <c r="D31" i="31"/>
  <c r="E25" i="31"/>
  <c r="H8" i="35"/>
  <c r="D35" i="35"/>
  <c r="D40" i="34"/>
  <c r="E34" i="34"/>
  <c r="E35" i="35" s="1"/>
  <c r="F27" i="35"/>
  <c r="D31" i="34"/>
  <c r="E25" i="34"/>
  <c r="E26" i="35" s="1"/>
  <c r="D26" i="35"/>
  <c r="G21" i="34"/>
  <c r="D29" i="32"/>
  <c r="E32" i="31"/>
  <c r="D38" i="31"/>
  <c r="I8" i="34"/>
  <c r="D36" i="35"/>
  <c r="D41" i="34"/>
  <c r="E35" i="34"/>
  <c r="E36" i="35" s="1"/>
  <c r="E35" i="31"/>
  <c r="D41" i="31"/>
  <c r="D32" i="32"/>
  <c r="F29" i="35"/>
  <c r="G26" i="31"/>
  <c r="D33" i="35"/>
  <c r="D38" i="34"/>
  <c r="E32" i="34"/>
  <c r="E33" i="35" s="1"/>
  <c r="G26" i="34"/>
  <c r="G31" i="34"/>
  <c r="G18" i="35"/>
  <c r="G21" i="35"/>
  <c r="F30" i="35"/>
  <c r="E26" i="32"/>
  <c r="G36" i="31"/>
  <c r="G31" i="31"/>
  <c r="F27" i="32"/>
  <c r="F8" i="32" l="1"/>
  <c r="I7" i="31"/>
  <c r="G4" i="32" s="1"/>
  <c r="E31" i="32"/>
  <c r="G37" i="35"/>
  <c r="G43" i="34"/>
  <c r="F36" i="35"/>
  <c r="E22" i="32"/>
  <c r="F22" i="32" s="1"/>
  <c r="G37" i="31"/>
  <c r="G27" i="35"/>
  <c r="D38" i="32"/>
  <c r="E41" i="31"/>
  <c r="G22" i="35"/>
  <c r="F23" i="32"/>
  <c r="F33" i="32"/>
  <c r="G43" i="31"/>
  <c r="E38" i="31"/>
  <c r="D35" i="32"/>
  <c r="E31" i="34"/>
  <c r="E32" i="35" s="1"/>
  <c r="D32" i="35"/>
  <c r="D37" i="34"/>
  <c r="D41" i="35"/>
  <c r="E40" i="34"/>
  <c r="E41" i="35" s="1"/>
  <c r="G27" i="34"/>
  <c r="D39" i="35"/>
  <c r="E38" i="34"/>
  <c r="E39" i="35" s="1"/>
  <c r="H9" i="35"/>
  <c r="I9" i="34"/>
  <c r="I10" i="34" s="1"/>
  <c r="F35" i="35"/>
  <c r="G32" i="31"/>
  <c r="G37" i="34"/>
  <c r="G32" i="34"/>
  <c r="F33" i="35"/>
  <c r="E32" i="32"/>
  <c r="D42" i="35"/>
  <c r="E41" i="34"/>
  <c r="E42" i="35" s="1"/>
  <c r="E29" i="32"/>
  <c r="F26" i="35"/>
  <c r="G26" i="35" s="1"/>
  <c r="D28" i="32"/>
  <c r="D37" i="31"/>
  <c r="E31" i="31"/>
  <c r="D37" i="32"/>
  <c r="E40" i="31"/>
  <c r="G22" i="34"/>
  <c r="E13" i="3"/>
  <c r="F13" i="3"/>
  <c r="G13" i="3"/>
  <c r="H13" i="3"/>
  <c r="I13" i="3"/>
  <c r="J13" i="3"/>
  <c r="K13" i="3"/>
  <c r="L13" i="3"/>
  <c r="M13" i="3"/>
  <c r="N13" i="3"/>
  <c r="O13" i="3"/>
  <c r="D13" i="3"/>
  <c r="I8" i="31" l="1"/>
  <c r="I9" i="31" s="1"/>
  <c r="G6" i="32" s="1"/>
  <c r="E37" i="32"/>
  <c r="E35" i="32"/>
  <c r="F32" i="35"/>
  <c r="G32" i="35" s="1"/>
  <c r="F41" i="35"/>
  <c r="G33" i="34"/>
  <c r="F42" i="35"/>
  <c r="G23" i="35"/>
  <c r="H11" i="35"/>
  <c r="G44" i="34"/>
  <c r="I11" i="34"/>
  <c r="J6" i="34" s="1"/>
  <c r="G28" i="34"/>
  <c r="I12" i="34"/>
  <c r="G28" i="35"/>
  <c r="G44" i="31"/>
  <c r="E37" i="31"/>
  <c r="D34" i="32"/>
  <c r="G38" i="31"/>
  <c r="H10" i="35"/>
  <c r="E28" i="32"/>
  <c r="F28" i="32" s="1"/>
  <c r="F29" i="32"/>
  <c r="G38" i="34"/>
  <c r="G45" i="34" s="1"/>
  <c r="G33" i="35"/>
  <c r="F39" i="35"/>
  <c r="E37" i="34"/>
  <c r="E38" i="35" s="1"/>
  <c r="D38" i="35"/>
  <c r="G23" i="34"/>
  <c r="H18" i="34" s="1"/>
  <c r="E38" i="32"/>
  <c r="P13" i="3"/>
  <c r="C37" i="7"/>
  <c r="C38" i="7"/>
  <c r="C39" i="7"/>
  <c r="C40" i="7"/>
  <c r="C41" i="7"/>
  <c r="C36" i="7"/>
  <c r="C31" i="7"/>
  <c r="C32" i="7"/>
  <c r="C33" i="7"/>
  <c r="C34" i="7"/>
  <c r="C35" i="7"/>
  <c r="C30" i="7"/>
  <c r="C25" i="7"/>
  <c r="C26" i="7"/>
  <c r="C27" i="7"/>
  <c r="C28" i="7"/>
  <c r="C29" i="7"/>
  <c r="C24" i="7"/>
  <c r="C19" i="7"/>
  <c r="C20" i="7"/>
  <c r="C21" i="7"/>
  <c r="C22" i="7"/>
  <c r="C23" i="7"/>
  <c r="C18" i="7"/>
  <c r="C13" i="7"/>
  <c r="C14" i="7"/>
  <c r="C15" i="7"/>
  <c r="C16" i="7"/>
  <c r="C17" i="7"/>
  <c r="C12" i="7"/>
  <c r="F35" i="32" l="1"/>
  <c r="G5" i="32"/>
  <c r="I10" i="31"/>
  <c r="I11" i="31" s="1"/>
  <c r="E34" i="32"/>
  <c r="F34" i="32" s="1"/>
  <c r="G34" i="34"/>
  <c r="G35" i="35" s="1"/>
  <c r="G39" i="34"/>
  <c r="G40" i="35" s="1"/>
  <c r="G34" i="35"/>
  <c r="F38" i="35"/>
  <c r="G38" i="35" s="1"/>
  <c r="I13" i="34"/>
  <c r="H13" i="35"/>
  <c r="G29" i="35"/>
  <c r="G29" i="34"/>
  <c r="H24" i="34" s="1"/>
  <c r="H12" i="35"/>
  <c r="G24" i="35"/>
  <c r="G39" i="35"/>
  <c r="G45" i="31"/>
  <c r="O12" i="3"/>
  <c r="O14" i="3" s="1"/>
  <c r="N12" i="3"/>
  <c r="N14" i="3" s="1"/>
  <c r="M12" i="3"/>
  <c r="M14" i="3" s="1"/>
  <c r="L12" i="3"/>
  <c r="L14" i="3" s="1"/>
  <c r="K12" i="3"/>
  <c r="K14" i="3" s="1"/>
  <c r="J12" i="3"/>
  <c r="J14" i="3" s="1"/>
  <c r="I12" i="3"/>
  <c r="I14" i="3" s="1"/>
  <c r="H12" i="3"/>
  <c r="G7" i="32" l="1"/>
  <c r="G40" i="34"/>
  <c r="G47" i="34" s="1"/>
  <c r="G46" i="34"/>
  <c r="G8" i="32"/>
  <c r="H14" i="35"/>
  <c r="G30" i="35"/>
  <c r="G35" i="34"/>
  <c r="H30" i="34" s="1"/>
  <c r="I18" i="34"/>
  <c r="J6" i="31"/>
  <c r="I14" i="34"/>
  <c r="H14" i="3"/>
  <c r="B9" i="12"/>
  <c r="B15" i="12"/>
  <c r="B21" i="12"/>
  <c r="B27" i="12"/>
  <c r="B33" i="12"/>
  <c r="B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" i="12"/>
  <c r="D9" i="7"/>
  <c r="E9" i="7" s="1"/>
  <c r="E6" i="7"/>
  <c r="G6" i="7"/>
  <c r="G41" i="35" l="1"/>
  <c r="I24" i="34"/>
  <c r="K6" i="34"/>
  <c r="H15" i="35"/>
  <c r="I15" i="34"/>
  <c r="I19" i="34"/>
  <c r="I20" i="34" s="1"/>
  <c r="H19" i="35"/>
  <c r="K6" i="31"/>
  <c r="G36" i="35"/>
  <c r="G41" i="34"/>
  <c r="D3" i="12"/>
  <c r="G12" i="7"/>
  <c r="G7" i="7"/>
  <c r="D6" i="12"/>
  <c r="G48" i="34" l="1"/>
  <c r="G42" i="35"/>
  <c r="H21" i="35"/>
  <c r="I21" i="34"/>
  <c r="I30" i="34"/>
  <c r="K7" i="31"/>
  <c r="K8" i="31" s="1"/>
  <c r="H3" i="32"/>
  <c r="I25" i="34"/>
  <c r="I26" i="34" s="1"/>
  <c r="H25" i="35"/>
  <c r="I16" i="34"/>
  <c r="I17" i="34" s="1"/>
  <c r="H16" i="35"/>
  <c r="H20" i="35"/>
  <c r="I7" i="35"/>
  <c r="K7" i="34"/>
  <c r="K8" i="34" s="1"/>
  <c r="E6" i="12"/>
  <c r="G8" i="7"/>
  <c r="G13" i="7"/>
  <c r="G18" i="7"/>
  <c r="G43" i="35" l="1"/>
  <c r="G46" i="35" s="1"/>
  <c r="G48" i="35" s="1"/>
  <c r="J12" i="34"/>
  <c r="I9" i="35"/>
  <c r="K9" i="34"/>
  <c r="H26" i="35"/>
  <c r="H4" i="32"/>
  <c r="H22" i="35"/>
  <c r="H31" i="35"/>
  <c r="I31" i="34"/>
  <c r="I32" i="34" s="1"/>
  <c r="I36" i="34"/>
  <c r="I27" i="34"/>
  <c r="K9" i="31"/>
  <c r="H27" i="35"/>
  <c r="H5" i="32"/>
  <c r="H18" i="35"/>
  <c r="I8" i="35"/>
  <c r="H17" i="35"/>
  <c r="I22" i="34"/>
  <c r="G19" i="7"/>
  <c r="G9" i="7"/>
  <c r="G24" i="7"/>
  <c r="G14" i="7"/>
  <c r="I28" i="34" l="1"/>
  <c r="H29" i="35" s="1"/>
  <c r="H23" i="35"/>
  <c r="I23" i="34"/>
  <c r="J18" i="34" s="1"/>
  <c r="H6" i="32"/>
  <c r="H37" i="35"/>
  <c r="I43" i="34"/>
  <c r="K10" i="34"/>
  <c r="K11" i="34" s="1"/>
  <c r="I10" i="35"/>
  <c r="I38" i="34"/>
  <c r="I45" i="34" s="1"/>
  <c r="H33" i="35"/>
  <c r="H28" i="35"/>
  <c r="H32" i="35"/>
  <c r="I37" i="34"/>
  <c r="K10" i="31"/>
  <c r="I33" i="34"/>
  <c r="G15" i="7"/>
  <c r="G10" i="7"/>
  <c r="G20" i="7"/>
  <c r="G25" i="7"/>
  <c r="G30" i="7"/>
  <c r="L6" i="34" l="1"/>
  <c r="I29" i="34"/>
  <c r="I12" i="35"/>
  <c r="H38" i="35"/>
  <c r="I44" i="34"/>
  <c r="K12" i="34"/>
  <c r="I39" i="34"/>
  <c r="H34" i="35"/>
  <c r="I34" i="34"/>
  <c r="I11" i="35"/>
  <c r="H24" i="35"/>
  <c r="H7" i="32"/>
  <c r="H39" i="35"/>
  <c r="K11" i="31"/>
  <c r="G21" i="7"/>
  <c r="G11" i="7"/>
  <c r="G31" i="7"/>
  <c r="G36" i="7"/>
  <c r="G26" i="7"/>
  <c r="G16" i="7"/>
  <c r="H30" i="35" l="1"/>
  <c r="J24" i="34"/>
  <c r="I35" i="34"/>
  <c r="I46" i="34"/>
  <c r="H40" i="35"/>
  <c r="H8" i="32"/>
  <c r="K13" i="34"/>
  <c r="K14" i="34" s="1"/>
  <c r="I13" i="35"/>
  <c r="L6" i="31"/>
  <c r="H35" i="35"/>
  <c r="I40" i="34"/>
  <c r="I47" i="34" s="1"/>
  <c r="G43" i="7"/>
  <c r="G37" i="7"/>
  <c r="G44" i="7" s="1"/>
  <c r="H6" i="7"/>
  <c r="G27" i="7"/>
  <c r="G22" i="7"/>
  <c r="G17" i="7"/>
  <c r="G32" i="7"/>
  <c r="I41" i="34" l="1"/>
  <c r="I48" i="34" s="1"/>
  <c r="J30" i="34"/>
  <c r="M6" i="34"/>
  <c r="H36" i="35"/>
  <c r="I15" i="35"/>
  <c r="K15" i="34"/>
  <c r="K16" i="34" s="1"/>
  <c r="H41" i="35"/>
  <c r="M6" i="31"/>
  <c r="I14" i="35"/>
  <c r="H12" i="7"/>
  <c r="D10" i="7"/>
  <c r="E10" i="7" s="1"/>
  <c r="G28" i="7"/>
  <c r="G23" i="7"/>
  <c r="G33" i="7"/>
  <c r="G38" i="7"/>
  <c r="D8" i="7"/>
  <c r="E8" i="7" s="1"/>
  <c r="D7" i="7"/>
  <c r="E7" i="7" s="1"/>
  <c r="D11" i="7"/>
  <c r="E11" i="7" s="1"/>
  <c r="H42" i="35" l="1"/>
  <c r="J7" i="35"/>
  <c r="K18" i="34"/>
  <c r="M7" i="34"/>
  <c r="M8" i="34" s="1"/>
  <c r="M9" i="34" s="1"/>
  <c r="J10" i="35" s="1"/>
  <c r="I16" i="35"/>
  <c r="I3" i="32"/>
  <c r="M7" i="31"/>
  <c r="M8" i="31" s="1"/>
  <c r="K17" i="34"/>
  <c r="L12" i="34" s="1"/>
  <c r="I17" i="35"/>
  <c r="G39" i="7"/>
  <c r="G45" i="7"/>
  <c r="H18" i="7"/>
  <c r="D7" i="12"/>
  <c r="G29" i="7"/>
  <c r="G34" i="7"/>
  <c r="D5" i="12"/>
  <c r="D8" i="12"/>
  <c r="D4" i="12"/>
  <c r="H43" i="35" l="1"/>
  <c r="H46" i="35" s="1"/>
  <c r="H48" i="35" s="1"/>
  <c r="I19" i="35"/>
  <c r="K19" i="34"/>
  <c r="K20" i="34" s="1"/>
  <c r="I21" i="35" s="1"/>
  <c r="K24" i="34"/>
  <c r="J8" i="35"/>
  <c r="M10" i="34"/>
  <c r="J11" i="35" s="1"/>
  <c r="J9" i="35"/>
  <c r="I18" i="35"/>
  <c r="I4" i="32"/>
  <c r="I5" i="32"/>
  <c r="M9" i="31"/>
  <c r="G46" i="7"/>
  <c r="E5" i="12"/>
  <c r="E4" i="12"/>
  <c r="E7" i="12"/>
  <c r="E8" i="12"/>
  <c r="H24" i="7"/>
  <c r="G35" i="7"/>
  <c r="G40" i="7"/>
  <c r="D16" i="7"/>
  <c r="E16" i="7" s="1"/>
  <c r="D15" i="7"/>
  <c r="E15" i="7" s="1"/>
  <c r="D14" i="7"/>
  <c r="E14" i="7" s="1"/>
  <c r="D12" i="7"/>
  <c r="D13" i="7"/>
  <c r="E13" i="7" s="1"/>
  <c r="K25" i="34" l="1"/>
  <c r="K26" i="34" s="1"/>
  <c r="K21" i="34"/>
  <c r="K22" i="34" s="1"/>
  <c r="I23" i="35" s="1"/>
  <c r="I25" i="35"/>
  <c r="I20" i="35"/>
  <c r="K30" i="34"/>
  <c r="M11" i="34"/>
  <c r="I6" i="32"/>
  <c r="M10" i="31"/>
  <c r="G41" i="7"/>
  <c r="G47" i="7"/>
  <c r="D9" i="12"/>
  <c r="E12" i="7"/>
  <c r="H30" i="7"/>
  <c r="D20" i="7"/>
  <c r="E20" i="7" s="1"/>
  <c r="D11" i="12"/>
  <c r="E11" i="12" s="1"/>
  <c r="D21" i="7"/>
  <c r="E21" i="7" s="1"/>
  <c r="D12" i="12"/>
  <c r="E12" i="12" s="1"/>
  <c r="D19" i="7"/>
  <c r="E19" i="7" s="1"/>
  <c r="D10" i="12"/>
  <c r="E10" i="12" s="1"/>
  <c r="D22" i="7"/>
  <c r="E22" i="7" s="1"/>
  <c r="D13" i="12"/>
  <c r="E13" i="12" s="1"/>
  <c r="D18" i="7"/>
  <c r="E18" i="7" s="1"/>
  <c r="D17" i="7"/>
  <c r="E17" i="7" s="1"/>
  <c r="I26" i="35" l="1"/>
  <c r="K27" i="34"/>
  <c r="K28" i="34" s="1"/>
  <c r="K23" i="34"/>
  <c r="L18" i="34" s="1"/>
  <c r="I31" i="35"/>
  <c r="N6" i="34"/>
  <c r="K31" i="34"/>
  <c r="I32" i="35" s="1"/>
  <c r="I22" i="35"/>
  <c r="K36" i="34"/>
  <c r="K43" i="34" s="1"/>
  <c r="J12" i="35"/>
  <c r="I27" i="35"/>
  <c r="M11" i="31"/>
  <c r="I7" i="32"/>
  <c r="M12" i="34"/>
  <c r="G48" i="7"/>
  <c r="E9" i="12"/>
  <c r="D24" i="7"/>
  <c r="E24" i="7" s="1"/>
  <c r="D15" i="12"/>
  <c r="E15" i="12" s="1"/>
  <c r="D27" i="7"/>
  <c r="E27" i="7" s="1"/>
  <c r="D18" i="12"/>
  <c r="E18" i="12" s="1"/>
  <c r="D25" i="7"/>
  <c r="E25" i="7" s="1"/>
  <c r="D16" i="12"/>
  <c r="E16" i="12" s="1"/>
  <c r="D23" i="7"/>
  <c r="E23" i="7" s="1"/>
  <c r="D14" i="12"/>
  <c r="E14" i="12" s="1"/>
  <c r="D28" i="7"/>
  <c r="E28" i="7" s="1"/>
  <c r="D19" i="12"/>
  <c r="E19" i="12" s="1"/>
  <c r="D26" i="7"/>
  <c r="E26" i="7" s="1"/>
  <c r="D17" i="12"/>
  <c r="E17" i="12" s="1"/>
  <c r="I24" i="35" l="1"/>
  <c r="I28" i="35"/>
  <c r="I29" i="35"/>
  <c r="K32" i="34"/>
  <c r="K37" i="34"/>
  <c r="K44" i="34" s="1"/>
  <c r="I37" i="35"/>
  <c r="O6" i="34"/>
  <c r="K29" i="34"/>
  <c r="I30" i="35" s="1"/>
  <c r="I8" i="32"/>
  <c r="J13" i="35"/>
  <c r="M13" i="34"/>
  <c r="M14" i="34" s="1"/>
  <c r="M18" i="34"/>
  <c r="N6" i="31"/>
  <c r="D32" i="7"/>
  <c r="E32" i="7" s="1"/>
  <c r="D23" i="12"/>
  <c r="E23" i="12" s="1"/>
  <c r="D31" i="7"/>
  <c r="E31" i="7" s="1"/>
  <c r="D22" i="12"/>
  <c r="E22" i="12" s="1"/>
  <c r="D33" i="7"/>
  <c r="E33" i="7" s="1"/>
  <c r="D24" i="12"/>
  <c r="E24" i="12" s="1"/>
  <c r="D29" i="7"/>
  <c r="E29" i="7" s="1"/>
  <c r="D20" i="12"/>
  <c r="E20" i="12" s="1"/>
  <c r="D34" i="7"/>
  <c r="E34" i="7" s="1"/>
  <c r="D25" i="12"/>
  <c r="E25" i="12" s="1"/>
  <c r="D30" i="7"/>
  <c r="E30" i="7" s="1"/>
  <c r="D21" i="12"/>
  <c r="E21" i="12" s="1"/>
  <c r="L24" i="34" l="1"/>
  <c r="M24" i="34" s="1"/>
  <c r="I33" i="35"/>
  <c r="K38" i="34"/>
  <c r="I39" i="35" s="1"/>
  <c r="I38" i="35"/>
  <c r="K33" i="34"/>
  <c r="K39" i="34" s="1"/>
  <c r="K46" i="34" s="1"/>
  <c r="J19" i="35"/>
  <c r="M19" i="34"/>
  <c r="J15" i="35"/>
  <c r="O7" i="34"/>
  <c r="K7" i="35"/>
  <c r="O6" i="31"/>
  <c r="J14" i="35"/>
  <c r="M15" i="34"/>
  <c r="D35" i="7"/>
  <c r="E35" i="7" s="1"/>
  <c r="D26" i="12"/>
  <c r="E26" i="12" s="1"/>
  <c r="D37" i="7"/>
  <c r="D28" i="12"/>
  <c r="E28" i="12" s="1"/>
  <c r="D36" i="7"/>
  <c r="D27" i="12"/>
  <c r="E27" i="12" s="1"/>
  <c r="D39" i="7"/>
  <c r="E39" i="7" s="1"/>
  <c r="D30" i="12"/>
  <c r="E30" i="12" s="1"/>
  <c r="D40" i="7"/>
  <c r="E40" i="7" s="1"/>
  <c r="D31" i="12"/>
  <c r="E31" i="12" s="1"/>
  <c r="D38" i="7"/>
  <c r="E38" i="7" s="1"/>
  <c r="D29" i="12"/>
  <c r="E29" i="12" s="1"/>
  <c r="E3" i="12"/>
  <c r="I6" i="7"/>
  <c r="E12" i="3"/>
  <c r="K45" i="34" l="1"/>
  <c r="K34" i="34"/>
  <c r="K40" i="34" s="1"/>
  <c r="I34" i="35"/>
  <c r="O8" i="34"/>
  <c r="J20" i="35"/>
  <c r="J16" i="35"/>
  <c r="M16" i="34"/>
  <c r="J25" i="35"/>
  <c r="M25" i="34"/>
  <c r="J3" i="32"/>
  <c r="O7" i="31"/>
  <c r="O8" i="31" s="1"/>
  <c r="K8" i="35"/>
  <c r="I40" i="35"/>
  <c r="M20" i="34"/>
  <c r="D34" i="12"/>
  <c r="E37" i="7"/>
  <c r="D33" i="12"/>
  <c r="E36" i="7"/>
  <c r="D37" i="12"/>
  <c r="E37" i="12" s="1"/>
  <c r="D35" i="12"/>
  <c r="E35" i="12" s="1"/>
  <c r="D36" i="12"/>
  <c r="E36" i="12" s="1"/>
  <c r="D41" i="7"/>
  <c r="E41" i="7" s="1"/>
  <c r="D32" i="12"/>
  <c r="E32" i="12" s="1"/>
  <c r="F8" i="12"/>
  <c r="F16" i="12"/>
  <c r="F24" i="12"/>
  <c r="F9" i="12"/>
  <c r="F17" i="12"/>
  <c r="F25" i="12"/>
  <c r="F6" i="12"/>
  <c r="F10" i="12"/>
  <c r="F14" i="12"/>
  <c r="F18" i="12"/>
  <c r="F22" i="12"/>
  <c r="F4" i="12"/>
  <c r="F12" i="12"/>
  <c r="F20" i="12"/>
  <c r="F5" i="12"/>
  <c r="F13" i="12"/>
  <c r="F21" i="12"/>
  <c r="F3" i="12"/>
  <c r="F7" i="12"/>
  <c r="F11" i="12"/>
  <c r="F15" i="12"/>
  <c r="F19" i="12"/>
  <c r="F23" i="12"/>
  <c r="I7" i="7"/>
  <c r="I12" i="7"/>
  <c r="G3" i="12"/>
  <c r="E14" i="3"/>
  <c r="G12" i="3"/>
  <c r="F12" i="3"/>
  <c r="D12" i="3"/>
  <c r="K35" i="34" l="1"/>
  <c r="L30" i="34" s="1"/>
  <c r="I35" i="35"/>
  <c r="M17" i="34"/>
  <c r="N12" i="34" s="1"/>
  <c r="J26" i="35"/>
  <c r="J5" i="32"/>
  <c r="J17" i="35"/>
  <c r="I41" i="35"/>
  <c r="J4" i="32"/>
  <c r="K47" i="34"/>
  <c r="K9" i="35"/>
  <c r="J21" i="35"/>
  <c r="M21" i="34"/>
  <c r="O9" i="34"/>
  <c r="O9" i="31"/>
  <c r="O10" i="31" s="1"/>
  <c r="M26" i="34"/>
  <c r="I8" i="7"/>
  <c r="I9" i="7" s="1"/>
  <c r="R43" i="12"/>
  <c r="P12" i="3"/>
  <c r="E33" i="12"/>
  <c r="F33" i="12" s="1"/>
  <c r="E34" i="12"/>
  <c r="F34" i="12" s="1"/>
  <c r="G9" i="12"/>
  <c r="G4" i="12"/>
  <c r="F26" i="12"/>
  <c r="F31" i="12"/>
  <c r="F36" i="12"/>
  <c r="F14" i="3"/>
  <c r="D14" i="3"/>
  <c r="F29" i="12"/>
  <c r="F28" i="12"/>
  <c r="F30" i="12"/>
  <c r="G14" i="3"/>
  <c r="F27" i="12"/>
  <c r="D38" i="12"/>
  <c r="E38" i="12" s="1"/>
  <c r="I18" i="7"/>
  <c r="I13" i="7"/>
  <c r="I36" i="35" l="1"/>
  <c r="K41" i="34"/>
  <c r="K48" i="34" s="1"/>
  <c r="J18" i="35"/>
  <c r="M27" i="34"/>
  <c r="O10" i="34"/>
  <c r="O11" i="34" s="1"/>
  <c r="K10" i="35"/>
  <c r="J22" i="35"/>
  <c r="M22" i="34"/>
  <c r="J7" i="32"/>
  <c r="J27" i="35"/>
  <c r="J6" i="32"/>
  <c r="O11" i="31"/>
  <c r="M30" i="34"/>
  <c r="G10" i="12"/>
  <c r="G5" i="12"/>
  <c r="P14" i="3"/>
  <c r="I24" i="7"/>
  <c r="G15" i="12"/>
  <c r="I10" i="7"/>
  <c r="G6" i="12"/>
  <c r="F37" i="12"/>
  <c r="F35" i="12"/>
  <c r="F38" i="12"/>
  <c r="F32" i="12"/>
  <c r="I14" i="7"/>
  <c r="F39" i="12" l="1"/>
  <c r="F42" i="12" s="1"/>
  <c r="I42" i="35"/>
  <c r="P6" i="34"/>
  <c r="M28" i="34"/>
  <c r="J29" i="35" s="1"/>
  <c r="M23" i="34"/>
  <c r="J24" i="35" s="1"/>
  <c r="M36" i="34"/>
  <c r="M43" i="34" s="1"/>
  <c r="J31" i="35"/>
  <c r="M31" i="34"/>
  <c r="M32" i="34" s="1"/>
  <c r="J8" i="32"/>
  <c r="P6" i="31"/>
  <c r="K12" i="35"/>
  <c r="K11" i="35"/>
  <c r="J23" i="35"/>
  <c r="J28" i="35"/>
  <c r="G7" i="12"/>
  <c r="I11" i="7"/>
  <c r="G21" i="12"/>
  <c r="I30" i="7"/>
  <c r="I15" i="7"/>
  <c r="G11" i="12"/>
  <c r="I43" i="35" l="1"/>
  <c r="I46" i="35" s="1"/>
  <c r="I48" i="35" s="1"/>
  <c r="N18" i="34"/>
  <c r="M29" i="34"/>
  <c r="M38" i="34"/>
  <c r="M45" i="34" s="1"/>
  <c r="J33" i="35"/>
  <c r="J32" i="35"/>
  <c r="M37" i="34"/>
  <c r="M44" i="34" s="1"/>
  <c r="O12" i="34"/>
  <c r="Q6" i="31"/>
  <c r="M33" i="34"/>
  <c r="M34" i="34" s="1"/>
  <c r="J37" i="35"/>
  <c r="G8" i="12"/>
  <c r="F44" i="12"/>
  <c r="G12" i="12"/>
  <c r="I16" i="7"/>
  <c r="I36" i="7"/>
  <c r="G27" i="12"/>
  <c r="J30" i="35" l="1"/>
  <c r="N24" i="34"/>
  <c r="O18" i="34"/>
  <c r="K3" i="32"/>
  <c r="Q7" i="31"/>
  <c r="Q8" i="31" s="1"/>
  <c r="J38" i="35"/>
  <c r="J35" i="35"/>
  <c r="M40" i="34"/>
  <c r="M47" i="34" s="1"/>
  <c r="Q6" i="34"/>
  <c r="J39" i="35"/>
  <c r="M39" i="34"/>
  <c r="J34" i="35"/>
  <c r="K13" i="35"/>
  <c r="O13" i="34"/>
  <c r="M35" i="34"/>
  <c r="N30" i="34" s="1"/>
  <c r="G33" i="12"/>
  <c r="I43" i="7"/>
  <c r="I17" i="7"/>
  <c r="G13" i="12"/>
  <c r="O19" i="34" l="1"/>
  <c r="K19" i="35"/>
  <c r="L7" i="35"/>
  <c r="Q7" i="34"/>
  <c r="Q8" i="34" s="1"/>
  <c r="K5" i="32"/>
  <c r="K4" i="32"/>
  <c r="K14" i="35"/>
  <c r="J36" i="35"/>
  <c r="M41" i="34"/>
  <c r="M48" i="34" s="1"/>
  <c r="J40" i="35"/>
  <c r="O14" i="34"/>
  <c r="M46" i="34"/>
  <c r="J41" i="35"/>
  <c r="Q9" i="31"/>
  <c r="G14" i="12"/>
  <c r="J6" i="7"/>
  <c r="K6" i="7" s="1"/>
  <c r="O24" i="34" l="1"/>
  <c r="O20" i="34"/>
  <c r="K21" i="35" s="1"/>
  <c r="K6" i="32"/>
  <c r="Q10" i="31"/>
  <c r="Q11" i="31" s="1"/>
  <c r="L9" i="35"/>
  <c r="K15" i="35"/>
  <c r="O15" i="34"/>
  <c r="O16" i="34" s="1"/>
  <c r="L8" i="35"/>
  <c r="J42" i="35"/>
  <c r="Q9" i="34"/>
  <c r="K20" i="35"/>
  <c r="K7" i="7"/>
  <c r="J43" i="35" l="1"/>
  <c r="J46" i="35" s="1"/>
  <c r="J48" i="35" s="1"/>
  <c r="O25" i="34"/>
  <c r="O26" i="34" s="1"/>
  <c r="K27" i="35" s="1"/>
  <c r="K25" i="35"/>
  <c r="R6" i="31"/>
  <c r="S6" i="31" s="1"/>
  <c r="L10" i="35"/>
  <c r="Q10" i="34"/>
  <c r="K8" i="32"/>
  <c r="K7" i="32"/>
  <c r="K17" i="35"/>
  <c r="O17" i="34"/>
  <c r="P12" i="34" s="1"/>
  <c r="K16" i="35"/>
  <c r="O21" i="34"/>
  <c r="K8" i="7"/>
  <c r="H4" i="12"/>
  <c r="H3" i="12"/>
  <c r="K26" i="35" l="1"/>
  <c r="K22" i="35"/>
  <c r="O22" i="34"/>
  <c r="O30" i="34"/>
  <c r="Q11" i="34"/>
  <c r="R6" i="34" s="1"/>
  <c r="O27" i="34"/>
  <c r="L11" i="35"/>
  <c r="K18" i="35"/>
  <c r="L3" i="32"/>
  <c r="S7" i="31"/>
  <c r="S8" i="31" s="1"/>
  <c r="K9" i="7"/>
  <c r="H5" i="12"/>
  <c r="Q12" i="34" l="1"/>
  <c r="L4" i="32"/>
  <c r="S9" i="31"/>
  <c r="K28" i="35"/>
  <c r="O28" i="34"/>
  <c r="L12" i="35"/>
  <c r="O23" i="34"/>
  <c r="P18" i="34" s="1"/>
  <c r="L5" i="32"/>
  <c r="K31" i="35"/>
  <c r="O36" i="34"/>
  <c r="O43" i="34" s="1"/>
  <c r="O31" i="34"/>
  <c r="O32" i="34" s="1"/>
  <c r="K23" i="35"/>
  <c r="H6" i="12"/>
  <c r="K10" i="7"/>
  <c r="K11" i="7" s="1"/>
  <c r="O33" i="34" l="1"/>
  <c r="O34" i="34" s="1"/>
  <c r="K37" i="35"/>
  <c r="K24" i="35"/>
  <c r="O29" i="34"/>
  <c r="P24" i="34" s="1"/>
  <c r="L6" i="32"/>
  <c r="O38" i="34"/>
  <c r="O45" i="34" s="1"/>
  <c r="K33" i="35"/>
  <c r="L13" i="35"/>
  <c r="Q13" i="34"/>
  <c r="O37" i="34"/>
  <c r="O44" i="34" s="1"/>
  <c r="K32" i="35"/>
  <c r="K29" i="35"/>
  <c r="S10" i="31"/>
  <c r="H8" i="12"/>
  <c r="H7" i="12"/>
  <c r="L6" i="7"/>
  <c r="M6" i="7" s="1"/>
  <c r="K34" i="35" l="1"/>
  <c r="O39" i="34"/>
  <c r="O46" i="34" s="1"/>
  <c r="L14" i="35"/>
  <c r="K30" i="35"/>
  <c r="L7" i="32"/>
  <c r="S11" i="31"/>
  <c r="K38" i="35"/>
  <c r="O35" i="34"/>
  <c r="P30" i="34" s="1"/>
  <c r="Q14" i="34"/>
  <c r="K39" i="35"/>
  <c r="O40" i="34"/>
  <c r="K35" i="35"/>
  <c r="M7" i="7"/>
  <c r="K40" i="35" l="1"/>
  <c r="L8" i="32"/>
  <c r="L15" i="35"/>
  <c r="Q15" i="34"/>
  <c r="S6" i="34"/>
  <c r="K41" i="35"/>
  <c r="O41" i="34"/>
  <c r="K36" i="35"/>
  <c r="O47" i="34"/>
  <c r="Q18" i="34"/>
  <c r="T6" i="31"/>
  <c r="I4" i="12"/>
  <c r="M8" i="7"/>
  <c r="I3" i="12"/>
  <c r="U6" i="31" l="1"/>
  <c r="L19" i="35"/>
  <c r="Q19" i="34"/>
  <c r="K42" i="35"/>
  <c r="O48" i="34"/>
  <c r="S7" i="34"/>
  <c r="M7" i="35"/>
  <c r="L16" i="35"/>
  <c r="Q16" i="34"/>
  <c r="I5" i="12"/>
  <c r="M9" i="7"/>
  <c r="J12" i="7"/>
  <c r="K12" i="7" s="1"/>
  <c r="I19" i="7"/>
  <c r="K43" i="35" l="1"/>
  <c r="K46" i="35" s="1"/>
  <c r="K48" i="35" s="1"/>
  <c r="Q24" i="34"/>
  <c r="L20" i="35"/>
  <c r="M3" i="32"/>
  <c r="U7" i="31"/>
  <c r="Q17" i="34"/>
  <c r="R12" i="34" s="1"/>
  <c r="L17" i="35"/>
  <c r="S8" i="34"/>
  <c r="M8" i="35"/>
  <c r="Q20" i="34"/>
  <c r="I6" i="12"/>
  <c r="G16" i="12"/>
  <c r="H9" i="12"/>
  <c r="I20" i="7"/>
  <c r="M10" i="7"/>
  <c r="K13" i="7"/>
  <c r="I25" i="7"/>
  <c r="L21" i="35" l="1"/>
  <c r="M9" i="35"/>
  <c r="Q21" i="34"/>
  <c r="L18" i="35"/>
  <c r="L25" i="35"/>
  <c r="Q25" i="34"/>
  <c r="Q26" i="34" s="1"/>
  <c r="Q30" i="34"/>
  <c r="S9" i="34"/>
  <c r="U8" i="31"/>
  <c r="M4" i="32"/>
  <c r="H10" i="12"/>
  <c r="G17" i="12"/>
  <c r="G22" i="12"/>
  <c r="M11" i="7"/>
  <c r="I7" i="12"/>
  <c r="K14" i="7"/>
  <c r="I31" i="7"/>
  <c r="I26" i="7"/>
  <c r="I21" i="7"/>
  <c r="Q22" i="34" l="1"/>
  <c r="L23" i="35" s="1"/>
  <c r="Q27" i="34"/>
  <c r="M10" i="35"/>
  <c r="L27" i="35"/>
  <c r="S10" i="34"/>
  <c r="U9" i="31"/>
  <c r="U10" i="31" s="1"/>
  <c r="U11" i="31" s="1"/>
  <c r="M5" i="32"/>
  <c r="L22" i="35"/>
  <c r="L31" i="35"/>
  <c r="Q31" i="34"/>
  <c r="Q36" i="34"/>
  <c r="Q43" i="34" s="1"/>
  <c r="L26" i="35"/>
  <c r="G23" i="12"/>
  <c r="G28" i="12"/>
  <c r="H11" i="12"/>
  <c r="G18" i="12"/>
  <c r="I8" i="12"/>
  <c r="N6" i="7"/>
  <c r="O6" i="7" s="1"/>
  <c r="I27" i="7"/>
  <c r="K15" i="7"/>
  <c r="I22" i="7"/>
  <c r="I32" i="7"/>
  <c r="I37" i="7"/>
  <c r="Q28" i="34" l="1"/>
  <c r="L29" i="35" s="1"/>
  <c r="Q23" i="34"/>
  <c r="L24" i="35" s="1"/>
  <c r="L28" i="35"/>
  <c r="M8" i="32"/>
  <c r="L37" i="35"/>
  <c r="Q37" i="34"/>
  <c r="L32" i="35"/>
  <c r="S12" i="34"/>
  <c r="M7" i="32"/>
  <c r="V6" i="31"/>
  <c r="M11" i="35"/>
  <c r="S11" i="34"/>
  <c r="T6" i="34" s="1"/>
  <c r="M6" i="32"/>
  <c r="Q32" i="34"/>
  <c r="Q33" i="34" s="1"/>
  <c r="G34" i="12"/>
  <c r="G29" i="12"/>
  <c r="G24" i="12"/>
  <c r="G19" i="12"/>
  <c r="H12" i="12"/>
  <c r="O7" i="7"/>
  <c r="J3" i="12"/>
  <c r="I23" i="7"/>
  <c r="I44" i="7"/>
  <c r="K16" i="7"/>
  <c r="I33" i="7"/>
  <c r="I28" i="7"/>
  <c r="I38" i="7"/>
  <c r="Q29" i="34" l="1"/>
  <c r="R18" i="34"/>
  <c r="L33" i="35"/>
  <c r="Q38" i="34"/>
  <c r="Q45" i="34" s="1"/>
  <c r="Q34" i="34"/>
  <c r="L38" i="35"/>
  <c r="Q44" i="34"/>
  <c r="Q39" i="34"/>
  <c r="L34" i="35"/>
  <c r="M12" i="35"/>
  <c r="W6" i="31"/>
  <c r="M13" i="35"/>
  <c r="S13" i="34"/>
  <c r="S14" i="34" s="1"/>
  <c r="H13" i="12"/>
  <c r="G35" i="12"/>
  <c r="G30" i="12"/>
  <c r="G25" i="12"/>
  <c r="J18" i="7"/>
  <c r="K18" i="7" s="1"/>
  <c r="G20" i="12"/>
  <c r="O8" i="7"/>
  <c r="J4" i="12"/>
  <c r="K17" i="7"/>
  <c r="I45" i="7"/>
  <c r="I34" i="7"/>
  <c r="I29" i="7"/>
  <c r="I39" i="7"/>
  <c r="L30" i="35" l="1"/>
  <c r="R24" i="34"/>
  <c r="Q35" i="34"/>
  <c r="R30" i="34" s="1"/>
  <c r="S15" i="34"/>
  <c r="S16" i="34" s="1"/>
  <c r="M15" i="35"/>
  <c r="W7" i="31"/>
  <c r="W8" i="31" s="1"/>
  <c r="N3" i="32"/>
  <c r="Q46" i="34"/>
  <c r="L40" i="35"/>
  <c r="M14" i="35"/>
  <c r="S18" i="34"/>
  <c r="L35" i="35"/>
  <c r="Q40" i="34"/>
  <c r="Q47" i="34" s="1"/>
  <c r="L39" i="35"/>
  <c r="G31" i="12"/>
  <c r="O9" i="7"/>
  <c r="J6" i="12" s="1"/>
  <c r="G36" i="12"/>
  <c r="K19" i="7"/>
  <c r="K20" i="7" s="1"/>
  <c r="G26" i="12"/>
  <c r="H15" i="12"/>
  <c r="H14" i="12"/>
  <c r="J5" i="12"/>
  <c r="I46" i="7"/>
  <c r="I40" i="7"/>
  <c r="I35" i="7"/>
  <c r="J24" i="7"/>
  <c r="K24" i="7" s="1"/>
  <c r="L36" i="35" l="1"/>
  <c r="Q41" i="34"/>
  <c r="L42" i="35" s="1"/>
  <c r="M17" i="35"/>
  <c r="N4" i="32"/>
  <c r="L41" i="35"/>
  <c r="S17" i="34"/>
  <c r="T12" i="34" s="1"/>
  <c r="W9" i="31"/>
  <c r="W10" i="31" s="1"/>
  <c r="N5" i="32"/>
  <c r="M16" i="35"/>
  <c r="U6" i="34"/>
  <c r="M19" i="35"/>
  <c r="S19" i="34"/>
  <c r="S20" i="34" s="1"/>
  <c r="H17" i="12"/>
  <c r="H16" i="12"/>
  <c r="G37" i="12"/>
  <c r="O10" i="7"/>
  <c r="J7" i="12" s="1"/>
  <c r="H21" i="12"/>
  <c r="J30" i="7"/>
  <c r="K30" i="7" s="1"/>
  <c r="G32" i="12"/>
  <c r="I47" i="7"/>
  <c r="I41" i="7"/>
  <c r="K25" i="7"/>
  <c r="K21" i="7"/>
  <c r="L12" i="7"/>
  <c r="L43" i="35" l="1"/>
  <c r="L46" i="35" s="1"/>
  <c r="L48" i="35" s="1"/>
  <c r="Q48" i="34"/>
  <c r="W11" i="31"/>
  <c r="X6" i="31" s="1"/>
  <c r="S21" i="34"/>
  <c r="S22" i="34" s="1"/>
  <c r="M21" i="35"/>
  <c r="M20" i="35"/>
  <c r="N7" i="35"/>
  <c r="U7" i="34"/>
  <c r="N6" i="32"/>
  <c r="M18" i="35"/>
  <c r="N7" i="32"/>
  <c r="S24" i="34"/>
  <c r="H22" i="12"/>
  <c r="G38" i="12"/>
  <c r="G39" i="12" s="1"/>
  <c r="O11" i="7"/>
  <c r="H18" i="12"/>
  <c r="K36" i="7"/>
  <c r="H27" i="12"/>
  <c r="I48" i="7"/>
  <c r="K31" i="7"/>
  <c r="K22" i="7"/>
  <c r="K26" i="7"/>
  <c r="M12" i="7"/>
  <c r="N8" i="32" l="1"/>
  <c r="M23" i="35"/>
  <c r="U12" i="34"/>
  <c r="N8" i="35"/>
  <c r="S23" i="34"/>
  <c r="T18" i="34" s="1"/>
  <c r="S30" i="34"/>
  <c r="M22" i="35"/>
  <c r="S25" i="34"/>
  <c r="M25" i="35"/>
  <c r="Y6" i="31"/>
  <c r="U8" i="34"/>
  <c r="H33" i="12"/>
  <c r="P6" i="7"/>
  <c r="Q6" i="7" s="1"/>
  <c r="J8" i="12"/>
  <c r="I9" i="12"/>
  <c r="H23" i="12"/>
  <c r="H19" i="12"/>
  <c r="K37" i="7"/>
  <c r="H28" i="12"/>
  <c r="K43" i="7"/>
  <c r="K27" i="7"/>
  <c r="K32" i="7"/>
  <c r="K23" i="7"/>
  <c r="M13" i="7"/>
  <c r="M26" i="35" l="1"/>
  <c r="U9" i="34"/>
  <c r="U10" i="34" s="1"/>
  <c r="N9" i="35"/>
  <c r="M31" i="35"/>
  <c r="S31" i="34"/>
  <c r="S36" i="34"/>
  <c r="U13" i="34"/>
  <c r="U14" i="34" s="1"/>
  <c r="N13" i="35"/>
  <c r="Y7" i="31"/>
  <c r="Y8" i="31" s="1"/>
  <c r="O3" i="32"/>
  <c r="S26" i="34"/>
  <c r="U18" i="34"/>
  <c r="M24" i="35"/>
  <c r="H34" i="12"/>
  <c r="K3" i="12"/>
  <c r="Q7" i="7"/>
  <c r="H24" i="12"/>
  <c r="I10" i="12"/>
  <c r="K44" i="7"/>
  <c r="H29" i="12"/>
  <c r="H20" i="12"/>
  <c r="K28" i="7"/>
  <c r="L18" i="7"/>
  <c r="M18" i="7" s="1"/>
  <c r="K33" i="7"/>
  <c r="K38" i="7"/>
  <c r="M14" i="7"/>
  <c r="U11" i="34" l="1"/>
  <c r="V6" i="34" s="1"/>
  <c r="O5" i="32"/>
  <c r="Y9" i="31"/>
  <c r="N19" i="35"/>
  <c r="U19" i="34"/>
  <c r="U20" i="34" s="1"/>
  <c r="U15" i="34"/>
  <c r="N15" i="35"/>
  <c r="M37" i="35"/>
  <c r="S43" i="34"/>
  <c r="M27" i="35"/>
  <c r="M32" i="35"/>
  <c r="S37" i="34"/>
  <c r="O4" i="32"/>
  <c r="N14" i="35"/>
  <c r="S32" i="34"/>
  <c r="S27" i="34"/>
  <c r="S28" i="34" s="1"/>
  <c r="N11" i="35"/>
  <c r="N10" i="35"/>
  <c r="H35" i="12"/>
  <c r="H30" i="12"/>
  <c r="K4" i="12"/>
  <c r="Q8" i="7"/>
  <c r="I11" i="12"/>
  <c r="I15" i="12"/>
  <c r="H25" i="12"/>
  <c r="K29" i="7"/>
  <c r="M19" i="7"/>
  <c r="K45" i="7"/>
  <c r="K39" i="7"/>
  <c r="K34" i="7"/>
  <c r="M15" i="7"/>
  <c r="U16" i="34" l="1"/>
  <c r="N17" i="35" s="1"/>
  <c r="N12" i="35"/>
  <c r="N21" i="35"/>
  <c r="M29" i="35"/>
  <c r="U21" i="34"/>
  <c r="O6" i="32"/>
  <c r="M28" i="35"/>
  <c r="S29" i="34"/>
  <c r="T24" i="34" s="1"/>
  <c r="M33" i="35"/>
  <c r="S38" i="34"/>
  <c r="S33" i="34"/>
  <c r="M38" i="35"/>
  <c r="S44" i="34"/>
  <c r="N16" i="35"/>
  <c r="N20" i="35"/>
  <c r="Y10" i="31"/>
  <c r="H31" i="12"/>
  <c r="H26" i="12"/>
  <c r="H36" i="12"/>
  <c r="Q9" i="7"/>
  <c r="K5" i="12"/>
  <c r="M16" i="7"/>
  <c r="I12" i="12"/>
  <c r="M20" i="7"/>
  <c r="I16" i="12"/>
  <c r="K35" i="7"/>
  <c r="L24" i="7"/>
  <c r="M24" i="7" s="1"/>
  <c r="K46" i="7"/>
  <c r="K40" i="7"/>
  <c r="U22" i="34" l="1"/>
  <c r="N23" i="35" s="1"/>
  <c r="U17" i="34"/>
  <c r="V12" i="34" s="1"/>
  <c r="S34" i="34"/>
  <c r="S35" i="34" s="1"/>
  <c r="O7" i="32"/>
  <c r="M39" i="35"/>
  <c r="S39" i="34"/>
  <c r="S46" i="34" s="1"/>
  <c r="M34" i="35"/>
  <c r="M30" i="35"/>
  <c r="S45" i="34"/>
  <c r="Y11" i="31"/>
  <c r="N22" i="35"/>
  <c r="Q10" i="7"/>
  <c r="K6" i="12"/>
  <c r="H37" i="12"/>
  <c r="G42" i="12"/>
  <c r="I21" i="12"/>
  <c r="I17" i="12"/>
  <c r="I13" i="12"/>
  <c r="M21" i="7"/>
  <c r="L30" i="7"/>
  <c r="M30" i="7" s="1"/>
  <c r="H32" i="12"/>
  <c r="K41" i="7"/>
  <c r="M25" i="7"/>
  <c r="M17" i="7"/>
  <c r="K47" i="7"/>
  <c r="G44" i="12" l="1"/>
  <c r="U23" i="34"/>
  <c r="V18" i="34" s="1"/>
  <c r="N18" i="35"/>
  <c r="T30" i="34"/>
  <c r="M35" i="35"/>
  <c r="M36" i="35"/>
  <c r="S41" i="34"/>
  <c r="S48" i="34" s="1"/>
  <c r="S40" i="34"/>
  <c r="M41" i="35" s="1"/>
  <c r="O8" i="32"/>
  <c r="M40" i="35"/>
  <c r="U24" i="34"/>
  <c r="W6" i="34"/>
  <c r="Z6" i="31"/>
  <c r="I22" i="12"/>
  <c r="M22" i="7"/>
  <c r="H38" i="12"/>
  <c r="H39" i="12" s="1"/>
  <c r="K7" i="12"/>
  <c r="Q11" i="7"/>
  <c r="R6" i="7" s="1"/>
  <c r="S6" i="7" s="1"/>
  <c r="I27" i="12"/>
  <c r="I18" i="12"/>
  <c r="N12" i="7"/>
  <c r="O12" i="7" s="1"/>
  <c r="I14" i="12"/>
  <c r="K48" i="7"/>
  <c r="M36" i="7"/>
  <c r="M26" i="7"/>
  <c r="M31" i="7"/>
  <c r="N24" i="35" l="1"/>
  <c r="S47" i="34"/>
  <c r="M42" i="35"/>
  <c r="M43" i="35" s="1"/>
  <c r="M46" i="35" s="1"/>
  <c r="M48" i="35" s="1"/>
  <c r="U30" i="34"/>
  <c r="N25" i="35"/>
  <c r="U25" i="34"/>
  <c r="U26" i="34" s="1"/>
  <c r="U27" i="34" s="1"/>
  <c r="AA6" i="31"/>
  <c r="O7" i="35"/>
  <c r="W7" i="34"/>
  <c r="W8" i="34" s="1"/>
  <c r="W12" i="34"/>
  <c r="I28" i="12"/>
  <c r="I19" i="12"/>
  <c r="L3" i="12"/>
  <c r="S7" i="7"/>
  <c r="I33" i="12"/>
  <c r="K8" i="12"/>
  <c r="M23" i="7"/>
  <c r="N18" i="7" s="1"/>
  <c r="O18" i="7" s="1"/>
  <c r="I23" i="12"/>
  <c r="J9" i="12"/>
  <c r="M27" i="7"/>
  <c r="M43" i="7"/>
  <c r="M32" i="7"/>
  <c r="M37" i="7"/>
  <c r="O13" i="7"/>
  <c r="N28" i="35" l="1"/>
  <c r="U28" i="34"/>
  <c r="U29" i="34" s="1"/>
  <c r="V24" i="34" s="1"/>
  <c r="O9" i="35"/>
  <c r="W9" i="34"/>
  <c r="U31" i="34"/>
  <c r="U32" i="34" s="1"/>
  <c r="N31" i="35"/>
  <c r="U36" i="34"/>
  <c r="U43" i="34" s="1"/>
  <c r="AA7" i="31"/>
  <c r="P3" i="32"/>
  <c r="W13" i="34"/>
  <c r="W14" i="34" s="1"/>
  <c r="O15" i="35" s="1"/>
  <c r="O13" i="35"/>
  <c r="O8" i="35"/>
  <c r="N27" i="35"/>
  <c r="W18" i="34"/>
  <c r="N26" i="35"/>
  <c r="L4" i="12"/>
  <c r="S8" i="7"/>
  <c r="I24" i="12"/>
  <c r="I34" i="12"/>
  <c r="I20" i="12"/>
  <c r="J15" i="12"/>
  <c r="I29" i="12"/>
  <c r="O14" i="7"/>
  <c r="J10" i="12"/>
  <c r="M33" i="7"/>
  <c r="M28" i="7"/>
  <c r="M38" i="7"/>
  <c r="M44" i="7"/>
  <c r="O19" i="7"/>
  <c r="M34" i="7" l="1"/>
  <c r="W10" i="34"/>
  <c r="O11" i="35" s="1"/>
  <c r="W24" i="34"/>
  <c r="N33" i="35"/>
  <c r="U38" i="34"/>
  <c r="W19" i="34"/>
  <c r="O19" i="35"/>
  <c r="N37" i="35"/>
  <c r="O10" i="35"/>
  <c r="P4" i="32"/>
  <c r="N30" i="35"/>
  <c r="O14" i="35"/>
  <c r="W15" i="34"/>
  <c r="AA8" i="31"/>
  <c r="U33" i="34"/>
  <c r="N32" i="35"/>
  <c r="U37" i="34"/>
  <c r="N29" i="35"/>
  <c r="I25" i="12"/>
  <c r="J16" i="12"/>
  <c r="I30" i="12"/>
  <c r="S9" i="7"/>
  <c r="S10" i="7" s="1"/>
  <c r="L5" i="12"/>
  <c r="J11" i="12"/>
  <c r="O15" i="7"/>
  <c r="M45" i="7"/>
  <c r="I35" i="12"/>
  <c r="M39" i="7"/>
  <c r="M29" i="7"/>
  <c r="O20" i="7"/>
  <c r="W11" i="34" l="1"/>
  <c r="O12" i="35" s="1"/>
  <c r="W16" i="34"/>
  <c r="N38" i="35"/>
  <c r="U44" i="34"/>
  <c r="O25" i="35"/>
  <c r="W25" i="34"/>
  <c r="O20" i="35"/>
  <c r="N34" i="35"/>
  <c r="U39" i="34"/>
  <c r="U46" i="34" s="1"/>
  <c r="AA9" i="31"/>
  <c r="AA10" i="31" s="1"/>
  <c r="P5" i="32"/>
  <c r="N39" i="35"/>
  <c r="U45" i="34"/>
  <c r="O16" i="35"/>
  <c r="U34" i="34"/>
  <c r="W20" i="34"/>
  <c r="L7" i="12"/>
  <c r="L6" i="12"/>
  <c r="J12" i="12"/>
  <c r="S11" i="7"/>
  <c r="I36" i="12"/>
  <c r="J17" i="12"/>
  <c r="O16" i="7"/>
  <c r="M40" i="7"/>
  <c r="I31" i="12"/>
  <c r="N24" i="7"/>
  <c r="O24" i="7" s="1"/>
  <c r="I26" i="12"/>
  <c r="M46" i="7"/>
  <c r="M35" i="7"/>
  <c r="O21" i="7"/>
  <c r="X6" i="34" l="1"/>
  <c r="W17" i="34"/>
  <c r="X12" i="34" s="1"/>
  <c r="O17" i="35"/>
  <c r="W26" i="34"/>
  <c r="O27" i="35" s="1"/>
  <c r="U40" i="34"/>
  <c r="U47" i="34" s="1"/>
  <c r="N35" i="35"/>
  <c r="U35" i="34"/>
  <c r="V30" i="34" s="1"/>
  <c r="O21" i="35"/>
  <c r="W21" i="34"/>
  <c r="O26" i="35"/>
  <c r="AA11" i="31"/>
  <c r="AB6" i="31" s="1"/>
  <c r="AC6" i="31" s="1"/>
  <c r="P7" i="32"/>
  <c r="P6" i="32"/>
  <c r="N40" i="35"/>
  <c r="L8" i="12"/>
  <c r="I37" i="12"/>
  <c r="J18" i="12"/>
  <c r="J13" i="12"/>
  <c r="T6" i="7"/>
  <c r="U6" i="7" s="1"/>
  <c r="O17" i="7"/>
  <c r="M47" i="7"/>
  <c r="J21" i="12"/>
  <c r="N30" i="7"/>
  <c r="O30" i="7" s="1"/>
  <c r="I32" i="12"/>
  <c r="M41" i="7"/>
  <c r="O22" i="7"/>
  <c r="O25" i="7"/>
  <c r="W22" i="34" l="1"/>
  <c r="O23" i="35" s="1"/>
  <c r="O18" i="35"/>
  <c r="Y6" i="34"/>
  <c r="W27" i="34"/>
  <c r="U41" i="34"/>
  <c r="U48" i="34" s="1"/>
  <c r="N36" i="35"/>
  <c r="P8" i="32"/>
  <c r="N41" i="35"/>
  <c r="AC7" i="31"/>
  <c r="AC8" i="31" s="1"/>
  <c r="Q3" i="32"/>
  <c r="AD6" i="31"/>
  <c r="I5" i="29" s="1"/>
  <c r="O22" i="35"/>
  <c r="I38" i="12"/>
  <c r="I39" i="12" s="1"/>
  <c r="J14" i="12"/>
  <c r="M3" i="12"/>
  <c r="U7" i="7"/>
  <c r="P12" i="7"/>
  <c r="Q12" i="7" s="1"/>
  <c r="J27" i="12"/>
  <c r="O26" i="7"/>
  <c r="J22" i="12"/>
  <c r="O23" i="7"/>
  <c r="J19" i="12"/>
  <c r="M48" i="7"/>
  <c r="O36" i="7"/>
  <c r="O31" i="7"/>
  <c r="W23" i="34" l="1"/>
  <c r="X18" i="34" s="1"/>
  <c r="W28" i="34"/>
  <c r="O28" i="35"/>
  <c r="Q5" i="32"/>
  <c r="R5" i="32" s="1"/>
  <c r="J7" i="29" s="1"/>
  <c r="AD8" i="31"/>
  <c r="I7" i="29" s="1"/>
  <c r="AC9" i="31"/>
  <c r="P7" i="35"/>
  <c r="Y7" i="34"/>
  <c r="Y8" i="34" s="1"/>
  <c r="Y12" i="34"/>
  <c r="R3" i="32"/>
  <c r="J5" i="29" s="1"/>
  <c r="AD7" i="31"/>
  <c r="I6" i="29" s="1"/>
  <c r="Q4" i="32"/>
  <c r="R4" i="32" s="1"/>
  <c r="J6" i="29" s="1"/>
  <c r="N42" i="35"/>
  <c r="N43" i="35" s="1"/>
  <c r="N46" i="35" s="1"/>
  <c r="N48" i="35" s="1"/>
  <c r="M4" i="12"/>
  <c r="U8" i="7"/>
  <c r="U9" i="7" s="1"/>
  <c r="M6" i="12" s="1"/>
  <c r="Q13" i="7"/>
  <c r="K10" i="12" s="1"/>
  <c r="J28" i="12"/>
  <c r="J33" i="12"/>
  <c r="H42" i="12"/>
  <c r="K9" i="12"/>
  <c r="J23" i="12"/>
  <c r="P18" i="7"/>
  <c r="Q18" i="7" s="1"/>
  <c r="J20" i="12"/>
  <c r="O27" i="7"/>
  <c r="O37" i="7"/>
  <c r="O32" i="7"/>
  <c r="O43" i="7"/>
  <c r="H44" i="12" l="1"/>
  <c r="W29" i="34"/>
  <c r="X24" i="34" s="1"/>
  <c r="O24" i="35"/>
  <c r="O29" i="35"/>
  <c r="Y9" i="34"/>
  <c r="Y10" i="34" s="1"/>
  <c r="P9" i="35"/>
  <c r="P13" i="35"/>
  <c r="Y13" i="34"/>
  <c r="P8" i="35"/>
  <c r="Q6" i="32"/>
  <c r="R6" i="32" s="1"/>
  <c r="J8" i="29" s="1"/>
  <c r="AD9" i="31"/>
  <c r="I8" i="29" s="1"/>
  <c r="AC10" i="31"/>
  <c r="J24" i="12"/>
  <c r="Q14" i="7"/>
  <c r="U10" i="7"/>
  <c r="U11" i="7" s="1"/>
  <c r="M5" i="12"/>
  <c r="J34" i="12"/>
  <c r="O28" i="7"/>
  <c r="K15" i="12"/>
  <c r="Q19" i="7"/>
  <c r="O33" i="7"/>
  <c r="J29" i="12"/>
  <c r="O44" i="7"/>
  <c r="O38" i="7"/>
  <c r="O34" i="7" l="1"/>
  <c r="O30" i="35"/>
  <c r="Y18" i="34"/>
  <c r="AC11" i="31"/>
  <c r="Q7" i="32"/>
  <c r="R7" i="32" s="1"/>
  <c r="J9" i="29" s="1"/>
  <c r="AD10" i="31"/>
  <c r="I9" i="29" s="1"/>
  <c r="P14" i="35"/>
  <c r="Y11" i="34"/>
  <c r="Z6" i="34" s="1"/>
  <c r="P11" i="35"/>
  <c r="Y14" i="34"/>
  <c r="W30" i="34"/>
  <c r="P10" i="35"/>
  <c r="K16" i="12"/>
  <c r="K11" i="12"/>
  <c r="M8" i="12"/>
  <c r="Q15" i="7"/>
  <c r="Q16" i="7" s="1"/>
  <c r="V6" i="7"/>
  <c r="W6" i="7" s="1"/>
  <c r="J25" i="12"/>
  <c r="M7" i="12"/>
  <c r="J35" i="12"/>
  <c r="O29" i="7"/>
  <c r="Q20" i="7"/>
  <c r="J30" i="12"/>
  <c r="O39" i="7"/>
  <c r="O45" i="7"/>
  <c r="O31" i="35" l="1"/>
  <c r="W36" i="34"/>
  <c r="W43" i="34" s="1"/>
  <c r="W31" i="34"/>
  <c r="W32" i="34" s="1"/>
  <c r="W33" i="34" s="1"/>
  <c r="AD11" i="31"/>
  <c r="I10" i="29" s="1"/>
  <c r="Q8" i="32"/>
  <c r="R8" i="32" s="1"/>
  <c r="J10" i="29" s="1"/>
  <c r="P15" i="35"/>
  <c r="Y15" i="34"/>
  <c r="P12" i="35"/>
  <c r="P19" i="35"/>
  <c r="Y19" i="34"/>
  <c r="Y24" i="34"/>
  <c r="O40" i="7"/>
  <c r="O47" i="7" s="1"/>
  <c r="J36" i="12"/>
  <c r="J26" i="12"/>
  <c r="K12" i="12"/>
  <c r="K17" i="12"/>
  <c r="K13" i="12"/>
  <c r="P24" i="7"/>
  <c r="Q24" i="7" s="1"/>
  <c r="Q21" i="7"/>
  <c r="Q17" i="7"/>
  <c r="O46" i="7"/>
  <c r="J31" i="12"/>
  <c r="N3" i="12"/>
  <c r="O35" i="7"/>
  <c r="W7" i="7"/>
  <c r="O34" i="35" l="1"/>
  <c r="W39" i="34"/>
  <c r="W46" i="34" s="1"/>
  <c r="W34" i="34"/>
  <c r="P25" i="35"/>
  <c r="Y25" i="34"/>
  <c r="AA6" i="34"/>
  <c r="P20" i="35"/>
  <c r="O37" i="35"/>
  <c r="P16" i="35"/>
  <c r="Y16" i="34"/>
  <c r="O33" i="35"/>
  <c r="W38" i="34"/>
  <c r="W45" i="34" s="1"/>
  <c r="Y20" i="34"/>
  <c r="W37" i="34"/>
  <c r="O32" i="35"/>
  <c r="Q22" i="7"/>
  <c r="J37" i="12"/>
  <c r="I42" i="12"/>
  <c r="K18" i="12"/>
  <c r="R12" i="7"/>
  <c r="S12" i="7" s="1"/>
  <c r="K14" i="12"/>
  <c r="J32" i="12"/>
  <c r="P30" i="7"/>
  <c r="Q30" i="7" s="1"/>
  <c r="K21" i="12"/>
  <c r="O41" i="7"/>
  <c r="W8" i="7"/>
  <c r="N4" i="12"/>
  <c r="Q25" i="7"/>
  <c r="I44" i="12" l="1"/>
  <c r="O38" i="35"/>
  <c r="P21" i="35"/>
  <c r="Y21" i="34"/>
  <c r="W44" i="34"/>
  <c r="O39" i="35"/>
  <c r="P17" i="35"/>
  <c r="Q7" i="35"/>
  <c r="AA7" i="34"/>
  <c r="Y26" i="34"/>
  <c r="Y17" i="34"/>
  <c r="Z12" i="34" s="1"/>
  <c r="P26" i="35"/>
  <c r="W35" i="34"/>
  <c r="X30" i="34" s="1"/>
  <c r="O35" i="35"/>
  <c r="W40" i="34"/>
  <c r="O40" i="35"/>
  <c r="S13" i="7"/>
  <c r="S14" i="7" s="1"/>
  <c r="Q23" i="7"/>
  <c r="N5" i="12"/>
  <c r="K19" i="12"/>
  <c r="L9" i="12"/>
  <c r="W9" i="7"/>
  <c r="K27" i="12"/>
  <c r="O48" i="7"/>
  <c r="J38" i="12"/>
  <c r="J39" i="12" s="1"/>
  <c r="Q26" i="7"/>
  <c r="K22" i="12"/>
  <c r="Q36" i="7"/>
  <c r="Q31" i="7"/>
  <c r="Y22" i="34" l="1"/>
  <c r="Y23" i="34" s="1"/>
  <c r="P24" i="35" s="1"/>
  <c r="P18" i="35"/>
  <c r="O41" i="35"/>
  <c r="Q8" i="35"/>
  <c r="P22" i="35"/>
  <c r="P27" i="35"/>
  <c r="Y27" i="34"/>
  <c r="W47" i="34"/>
  <c r="O36" i="35"/>
  <c r="W41" i="34"/>
  <c r="W48" i="34" s="1"/>
  <c r="AA8" i="34"/>
  <c r="N6" i="12"/>
  <c r="K20" i="12"/>
  <c r="R18" i="7"/>
  <c r="S18" i="7" s="1"/>
  <c r="K23" i="12"/>
  <c r="L10" i="12"/>
  <c r="K33" i="12"/>
  <c r="W10" i="7"/>
  <c r="Q27" i="7"/>
  <c r="S15" i="7"/>
  <c r="L11" i="12"/>
  <c r="Q32" i="7"/>
  <c r="K28" i="12"/>
  <c r="Q37" i="7"/>
  <c r="Q43" i="7"/>
  <c r="Z18" i="34" l="1"/>
  <c r="P23" i="35"/>
  <c r="Q9" i="35"/>
  <c r="P28" i="35"/>
  <c r="AA9" i="34"/>
  <c r="AA10" i="34" s="1"/>
  <c r="Y28" i="34"/>
  <c r="Y29" i="34" s="1"/>
  <c r="O42" i="35"/>
  <c r="O43" i="35" s="1"/>
  <c r="O46" i="35" s="1"/>
  <c r="O48" i="35" s="1"/>
  <c r="K34" i="12"/>
  <c r="K24" i="12"/>
  <c r="Q38" i="7"/>
  <c r="N7" i="12"/>
  <c r="L15" i="12"/>
  <c r="S19" i="7"/>
  <c r="S20" i="7" s="1"/>
  <c r="W11" i="7"/>
  <c r="Q33" i="7"/>
  <c r="Q28" i="7"/>
  <c r="K29" i="12"/>
  <c r="L12" i="12"/>
  <c r="S16" i="7"/>
  <c r="Q44" i="7"/>
  <c r="Q34" i="7" l="1"/>
  <c r="Z24" i="34"/>
  <c r="P29" i="35"/>
  <c r="Q11" i="35"/>
  <c r="P30" i="35"/>
  <c r="AA11" i="34"/>
  <c r="AB6" i="34" s="1"/>
  <c r="AA12" i="34"/>
  <c r="Q10" i="35"/>
  <c r="S21" i="7"/>
  <c r="S22" i="7" s="1"/>
  <c r="K35" i="12"/>
  <c r="Q45" i="7"/>
  <c r="K25" i="12"/>
  <c r="K30" i="12"/>
  <c r="L16" i="12"/>
  <c r="L17" i="12"/>
  <c r="X6" i="7"/>
  <c r="Y6" i="7" s="1"/>
  <c r="Q39" i="7"/>
  <c r="N8" i="12"/>
  <c r="Q29" i="7"/>
  <c r="L13" i="12"/>
  <c r="S17" i="7"/>
  <c r="AA13" i="34" l="1"/>
  <c r="Q13" i="35"/>
  <c r="AA18" i="34"/>
  <c r="Y30" i="34"/>
  <c r="Q12" i="35"/>
  <c r="L18" i="12"/>
  <c r="K36" i="12"/>
  <c r="Y7" i="7"/>
  <c r="Y8" i="7" s="1"/>
  <c r="K31" i="12"/>
  <c r="Q46" i="7"/>
  <c r="O3" i="12"/>
  <c r="Q35" i="7"/>
  <c r="Q40" i="7"/>
  <c r="K26" i="12"/>
  <c r="R24" i="7"/>
  <c r="S24" i="7" s="1"/>
  <c r="L19" i="12"/>
  <c r="T12" i="7"/>
  <c r="U12" i="7" s="1"/>
  <c r="L14" i="12"/>
  <c r="S23" i="7"/>
  <c r="AA14" i="34" l="1"/>
  <c r="Q15" i="35" s="1"/>
  <c r="Y31" i="34"/>
  <c r="Y32" i="34" s="1"/>
  <c r="Y36" i="34"/>
  <c r="Y43" i="34" s="1"/>
  <c r="P31" i="35"/>
  <c r="Q19" i="35"/>
  <c r="AA19" i="34"/>
  <c r="AC6" i="34"/>
  <c r="Q14" i="35"/>
  <c r="K37" i="12"/>
  <c r="K32" i="12"/>
  <c r="O4" i="12"/>
  <c r="L21" i="12"/>
  <c r="J42" i="12"/>
  <c r="R30" i="7"/>
  <c r="S30" i="7" s="1"/>
  <c r="Q41" i="7"/>
  <c r="Q47" i="7"/>
  <c r="S25" i="7"/>
  <c r="L20" i="12"/>
  <c r="M9" i="12"/>
  <c r="U13" i="7"/>
  <c r="O5" i="12"/>
  <c r="T18" i="7"/>
  <c r="Y9" i="7"/>
  <c r="J44" i="12" l="1"/>
  <c r="AA15" i="34"/>
  <c r="Q16" i="35" s="1"/>
  <c r="Q20" i="35"/>
  <c r="AD6" i="34"/>
  <c r="I5" i="36" s="1"/>
  <c r="AC7" i="34"/>
  <c r="AC8" i="34" s="1"/>
  <c r="R7" i="35"/>
  <c r="P33" i="35"/>
  <c r="Y38" i="34"/>
  <c r="Y45" i="34" s="1"/>
  <c r="AA24" i="34"/>
  <c r="P37" i="35"/>
  <c r="AA20" i="34"/>
  <c r="Y33" i="34"/>
  <c r="P32" i="35"/>
  <c r="Y37" i="34"/>
  <c r="Y44" i="34" s="1"/>
  <c r="M10" i="12"/>
  <c r="O6" i="12"/>
  <c r="K38" i="12"/>
  <c r="K39" i="12" s="1"/>
  <c r="L22" i="12"/>
  <c r="L27" i="12"/>
  <c r="S36" i="7"/>
  <c r="Q48" i="7"/>
  <c r="S31" i="7"/>
  <c r="S26" i="7"/>
  <c r="U14" i="7"/>
  <c r="U18" i="7"/>
  <c r="Y10" i="7"/>
  <c r="AA21" i="34" l="1"/>
  <c r="Q22" i="35" s="1"/>
  <c r="AA16" i="34"/>
  <c r="R9" i="35"/>
  <c r="S9" i="35" s="1"/>
  <c r="J7" i="36" s="1"/>
  <c r="AD8" i="34"/>
  <c r="I7" i="36" s="1"/>
  <c r="S7" i="35"/>
  <c r="P34" i="35"/>
  <c r="Y39" i="34"/>
  <c r="P38" i="35"/>
  <c r="Q21" i="35"/>
  <c r="R8" i="35"/>
  <c r="S8" i="35" s="1"/>
  <c r="J6" i="36" s="1"/>
  <c r="AD7" i="34"/>
  <c r="I6" i="36" s="1"/>
  <c r="Y34" i="34"/>
  <c r="Y35" i="34" s="1"/>
  <c r="Q25" i="35"/>
  <c r="AA25" i="34"/>
  <c r="P39" i="35"/>
  <c r="AC9" i="34"/>
  <c r="O7" i="12"/>
  <c r="L28" i="12"/>
  <c r="U15" i="7"/>
  <c r="U16" i="7" s="1"/>
  <c r="L33" i="12"/>
  <c r="S43" i="7"/>
  <c r="S37" i="7"/>
  <c r="S32" i="7"/>
  <c r="S27" i="7"/>
  <c r="L23" i="12"/>
  <c r="M11" i="12"/>
  <c r="M15" i="12"/>
  <c r="Y11" i="7"/>
  <c r="U19" i="7"/>
  <c r="Z30" i="34" l="1"/>
  <c r="Q17" i="35"/>
  <c r="AA17" i="34"/>
  <c r="AA22" i="34"/>
  <c r="Q23" i="35" s="1"/>
  <c r="P36" i="35"/>
  <c r="Y41" i="34"/>
  <c r="Y48" i="34" s="1"/>
  <c r="Q26" i="35"/>
  <c r="AC10" i="34"/>
  <c r="AD9" i="34"/>
  <c r="I8" i="36" s="1"/>
  <c r="R10" i="35"/>
  <c r="P40" i="35"/>
  <c r="Y46" i="34"/>
  <c r="J5" i="36"/>
  <c r="AA26" i="34"/>
  <c r="P35" i="35"/>
  <c r="Y40" i="34"/>
  <c r="Y47" i="34" s="1"/>
  <c r="S38" i="7"/>
  <c r="S45" i="7" s="1"/>
  <c r="M16" i="12"/>
  <c r="L34" i="12"/>
  <c r="U17" i="7"/>
  <c r="V12" i="7" s="1"/>
  <c r="W12" i="7" s="1"/>
  <c r="S28" i="7"/>
  <c r="L25" i="12" s="1"/>
  <c r="M12" i="12"/>
  <c r="L24" i="12"/>
  <c r="S33" i="7"/>
  <c r="S34" i="7" s="1"/>
  <c r="S44" i="7"/>
  <c r="L29" i="12"/>
  <c r="M13" i="12"/>
  <c r="Z6" i="7"/>
  <c r="AA6" i="7" s="1"/>
  <c r="O8" i="12"/>
  <c r="U20" i="7"/>
  <c r="AB12" i="34" l="1"/>
  <c r="Q18" i="35"/>
  <c r="AA23" i="34"/>
  <c r="Q24" i="35" s="1"/>
  <c r="AC11" i="34"/>
  <c r="Q27" i="35"/>
  <c r="AA27" i="34"/>
  <c r="P42" i="35"/>
  <c r="S10" i="35"/>
  <c r="P41" i="35"/>
  <c r="R11" i="35"/>
  <c r="S11" i="35" s="1"/>
  <c r="J9" i="36" s="1"/>
  <c r="AD10" i="34"/>
  <c r="I9" i="36" s="1"/>
  <c r="S29" i="7"/>
  <c r="L26" i="12" s="1"/>
  <c r="M14" i="12"/>
  <c r="L35" i="12"/>
  <c r="S40" i="7"/>
  <c r="M17" i="12"/>
  <c r="L30" i="12"/>
  <c r="S39" i="7"/>
  <c r="P3" i="12"/>
  <c r="N9" i="12"/>
  <c r="W13" i="7"/>
  <c r="U21" i="7"/>
  <c r="AA7" i="7"/>
  <c r="P43" i="35" l="1"/>
  <c r="P46" i="35" s="1"/>
  <c r="P48" i="35" s="1"/>
  <c r="AB18" i="34"/>
  <c r="AC12" i="34"/>
  <c r="AD12" i="34" s="1"/>
  <c r="I11" i="36" s="1"/>
  <c r="AD11" i="34"/>
  <c r="I10" i="36" s="1"/>
  <c r="R12" i="35"/>
  <c r="S12" i="35" s="1"/>
  <c r="J10" i="36" s="1"/>
  <c r="Q28" i="35"/>
  <c r="J8" i="36"/>
  <c r="AA28" i="34"/>
  <c r="S35" i="7"/>
  <c r="S41" i="7" s="1"/>
  <c r="T24" i="7"/>
  <c r="U24" i="7" s="1"/>
  <c r="M21" i="12" s="1"/>
  <c r="L31" i="12"/>
  <c r="P4" i="12"/>
  <c r="L36" i="12"/>
  <c r="N10" i="12"/>
  <c r="L37" i="12"/>
  <c r="S46" i="7"/>
  <c r="M18" i="12"/>
  <c r="W14" i="7"/>
  <c r="S47" i="7"/>
  <c r="U22" i="7"/>
  <c r="AA8" i="7"/>
  <c r="AC13" i="34" l="1"/>
  <c r="AD13" i="34" s="1"/>
  <c r="I12" i="36" s="1"/>
  <c r="AC18" i="34"/>
  <c r="R13" i="35"/>
  <c r="S13" i="35" s="1"/>
  <c r="J11" i="36" s="1"/>
  <c r="T30" i="7"/>
  <c r="U30" i="7" s="1"/>
  <c r="Q29" i="35"/>
  <c r="AA29" i="34"/>
  <c r="AB24" i="34" s="1"/>
  <c r="AA30" i="34"/>
  <c r="L32" i="12"/>
  <c r="U25" i="7"/>
  <c r="M22" i="12" s="1"/>
  <c r="N11" i="12"/>
  <c r="L38" i="12"/>
  <c r="K42" i="12"/>
  <c r="K44" i="12" s="1"/>
  <c r="M19" i="12"/>
  <c r="AA9" i="7"/>
  <c r="P5" i="12"/>
  <c r="S48" i="7"/>
  <c r="W15" i="7"/>
  <c r="U23" i="7"/>
  <c r="L39" i="12" l="1"/>
  <c r="M27" i="12"/>
  <c r="AC14" i="34"/>
  <c r="R15" i="35" s="1"/>
  <c r="S15" i="35" s="1"/>
  <c r="J13" i="36" s="1"/>
  <c r="AC19" i="34"/>
  <c r="AD19" i="34" s="1"/>
  <c r="I18" i="36" s="1"/>
  <c r="R14" i="35"/>
  <c r="S14" i="35" s="1"/>
  <c r="J12" i="36" s="1"/>
  <c r="R19" i="35"/>
  <c r="S19" i="35" s="1"/>
  <c r="J17" i="36" s="1"/>
  <c r="AD18" i="34"/>
  <c r="I17" i="36" s="1"/>
  <c r="AC24" i="34"/>
  <c r="Q30" i="35"/>
  <c r="Q31" i="35"/>
  <c r="AA36" i="34"/>
  <c r="AA43" i="34" s="1"/>
  <c r="AA31" i="34"/>
  <c r="AA32" i="34" s="1"/>
  <c r="U36" i="7"/>
  <c r="U43" i="7" s="1"/>
  <c r="U31" i="7"/>
  <c r="U37" i="7" s="1"/>
  <c r="U26" i="7"/>
  <c r="U27" i="7" s="1"/>
  <c r="M20" i="12"/>
  <c r="N12" i="12"/>
  <c r="W16" i="7"/>
  <c r="P6" i="12"/>
  <c r="AA10" i="7"/>
  <c r="V18" i="7"/>
  <c r="W18" i="7" s="1"/>
  <c r="M33" i="12" l="1"/>
  <c r="AC15" i="34"/>
  <c r="AC16" i="34" s="1"/>
  <c r="AD16" i="34" s="1"/>
  <c r="I15" i="36" s="1"/>
  <c r="AD14" i="34"/>
  <c r="I13" i="36" s="1"/>
  <c r="R20" i="35"/>
  <c r="S20" i="35" s="1"/>
  <c r="AC20" i="34"/>
  <c r="R21" i="35" s="1"/>
  <c r="S21" i="35" s="1"/>
  <c r="J19" i="36" s="1"/>
  <c r="M23" i="12"/>
  <c r="AA33" i="34"/>
  <c r="AA39" i="34" s="1"/>
  <c r="M28" i="12"/>
  <c r="AD24" i="34"/>
  <c r="I23" i="36" s="1"/>
  <c r="R25" i="35"/>
  <c r="S25" i="35" s="1"/>
  <c r="J23" i="36" s="1"/>
  <c r="AC25" i="34"/>
  <c r="Q33" i="35"/>
  <c r="AA38" i="34"/>
  <c r="Q32" i="35"/>
  <c r="AA37" i="34"/>
  <c r="AA44" i="34" s="1"/>
  <c r="Q37" i="35"/>
  <c r="U32" i="7"/>
  <c r="M29" i="12" s="1"/>
  <c r="M24" i="12"/>
  <c r="M34" i="12"/>
  <c r="W17" i="7"/>
  <c r="N14" i="12" s="1"/>
  <c r="N15" i="12"/>
  <c r="N13" i="12"/>
  <c r="AA11" i="7"/>
  <c r="P7" i="12"/>
  <c r="U44" i="7"/>
  <c r="U28" i="7"/>
  <c r="W19" i="7"/>
  <c r="R17" i="35" l="1"/>
  <c r="S17" i="35" s="1"/>
  <c r="J15" i="36" s="1"/>
  <c r="AC21" i="34"/>
  <c r="R22" i="35" s="1"/>
  <c r="S22" i="35" s="1"/>
  <c r="J20" i="36" s="1"/>
  <c r="R16" i="35"/>
  <c r="S16" i="35" s="1"/>
  <c r="J14" i="36" s="1"/>
  <c r="AD15" i="34"/>
  <c r="I14" i="36" s="1"/>
  <c r="AC17" i="34"/>
  <c r="R18" i="35" s="1"/>
  <c r="S18" i="35" s="1"/>
  <c r="J16" i="36" s="1"/>
  <c r="AC26" i="34"/>
  <c r="AD20" i="34"/>
  <c r="I19" i="36" s="1"/>
  <c r="U38" i="7"/>
  <c r="M35" i="12" s="1"/>
  <c r="AA46" i="34"/>
  <c r="AA34" i="34"/>
  <c r="AA40" i="34" s="1"/>
  <c r="U33" i="7"/>
  <c r="M30" i="12" s="1"/>
  <c r="Q34" i="35"/>
  <c r="Q39" i="35"/>
  <c r="Q38" i="35"/>
  <c r="J18" i="36"/>
  <c r="Q40" i="35"/>
  <c r="AA45" i="34"/>
  <c r="R26" i="35"/>
  <c r="S26" i="35" s="1"/>
  <c r="J24" i="36" s="1"/>
  <c r="AD25" i="34"/>
  <c r="I24" i="36" s="1"/>
  <c r="X12" i="7"/>
  <c r="Y12" i="7" s="1"/>
  <c r="Y13" i="7" s="1"/>
  <c r="AB6" i="7"/>
  <c r="AC6" i="7" s="1"/>
  <c r="M25" i="12"/>
  <c r="P8" i="12"/>
  <c r="W20" i="7"/>
  <c r="N16" i="12"/>
  <c r="U29" i="7"/>
  <c r="U34" i="7" l="1"/>
  <c r="U40" i="7" s="1"/>
  <c r="AC27" i="34"/>
  <c r="R28" i="35" s="1"/>
  <c r="S28" i="35" s="1"/>
  <c r="J26" i="36" s="1"/>
  <c r="AD21" i="34"/>
  <c r="I20" i="36" s="1"/>
  <c r="AC22" i="34"/>
  <c r="AC23" i="34" s="1"/>
  <c r="R24" i="35" s="1"/>
  <c r="S24" i="35" s="1"/>
  <c r="J22" i="36" s="1"/>
  <c r="AD17" i="34"/>
  <c r="I16" i="36" s="1"/>
  <c r="AD26" i="34"/>
  <c r="I25" i="36" s="1"/>
  <c r="R27" i="35"/>
  <c r="S27" i="35" s="1"/>
  <c r="J25" i="36" s="1"/>
  <c r="U45" i="7"/>
  <c r="U39" i="7"/>
  <c r="M36" i="12" s="1"/>
  <c r="AA35" i="34"/>
  <c r="AA41" i="34" s="1"/>
  <c r="Q35" i="35"/>
  <c r="Q41" i="35"/>
  <c r="AA47" i="34"/>
  <c r="O9" i="12"/>
  <c r="M26" i="12"/>
  <c r="N17" i="12"/>
  <c r="AC7" i="7"/>
  <c r="AD7" i="7" s="1"/>
  <c r="I6" i="27" s="1"/>
  <c r="AD6" i="7"/>
  <c r="I5" i="27" s="1"/>
  <c r="Q3" i="12"/>
  <c r="W21" i="7"/>
  <c r="Y14" i="7"/>
  <c r="O10" i="12"/>
  <c r="V24" i="7"/>
  <c r="W24" i="7" s="1"/>
  <c r="R3" i="12" l="1"/>
  <c r="J5" i="27" s="1"/>
  <c r="AB30" i="34"/>
  <c r="AD27" i="34"/>
  <c r="I26" i="36" s="1"/>
  <c r="AC28" i="34"/>
  <c r="AC29" i="34" s="1"/>
  <c r="AD22" i="34"/>
  <c r="I21" i="36" s="1"/>
  <c r="R23" i="35"/>
  <c r="S23" i="35" s="1"/>
  <c r="J21" i="36" s="1"/>
  <c r="AD23" i="34"/>
  <c r="I22" i="36" s="1"/>
  <c r="U46" i="7"/>
  <c r="Q36" i="35"/>
  <c r="M31" i="12"/>
  <c r="U35" i="7"/>
  <c r="V30" i="7" s="1"/>
  <c r="W30" i="7" s="1"/>
  <c r="Q42" i="35"/>
  <c r="AA48" i="34"/>
  <c r="Q4" i="12"/>
  <c r="R4" i="12" s="1"/>
  <c r="J6" i="27" s="1"/>
  <c r="AC8" i="7"/>
  <c r="AD8" i="7" s="1"/>
  <c r="I7" i="27" s="1"/>
  <c r="N18" i="12"/>
  <c r="M37" i="12"/>
  <c r="L42" i="12"/>
  <c r="L44" i="12" s="1"/>
  <c r="W22" i="7"/>
  <c r="N21" i="12"/>
  <c r="O11" i="12"/>
  <c r="Y15" i="7"/>
  <c r="U47" i="7"/>
  <c r="W25" i="7"/>
  <c r="Q43" i="35" l="1"/>
  <c r="Q46" i="35" s="1"/>
  <c r="Q48" i="35" s="1"/>
  <c r="R29" i="35"/>
  <c r="S29" i="35" s="1"/>
  <c r="J27" i="36" s="1"/>
  <c r="AD28" i="34"/>
  <c r="I27" i="36" s="1"/>
  <c r="Q5" i="12"/>
  <c r="R5" i="12" s="1"/>
  <c r="J7" i="27" s="1"/>
  <c r="M32" i="12"/>
  <c r="AC30" i="34"/>
  <c r="U41" i="7"/>
  <c r="M38" i="12" s="1"/>
  <c r="R30" i="35"/>
  <c r="S30" i="35" s="1"/>
  <c r="J28" i="36" s="1"/>
  <c r="AD29" i="34"/>
  <c r="I28" i="36" s="1"/>
  <c r="AC9" i="7"/>
  <c r="Q6" i="12" s="1"/>
  <c r="R6" i="12" s="1"/>
  <c r="J8" i="27" s="1"/>
  <c r="N22" i="12"/>
  <c r="W23" i="7"/>
  <c r="X18" i="7" s="1"/>
  <c r="Y18" i="7" s="1"/>
  <c r="N19" i="12"/>
  <c r="N27" i="12"/>
  <c r="Y16" i="7"/>
  <c r="O12" i="12"/>
  <c r="W36" i="7"/>
  <c r="W26" i="7"/>
  <c r="W31" i="7"/>
  <c r="M39" i="12" l="1"/>
  <c r="U48" i="7"/>
  <c r="AD30" i="34"/>
  <c r="I29" i="36" s="1"/>
  <c r="AC31" i="34"/>
  <c r="AC32" i="34" s="1"/>
  <c r="R33" i="35" s="1"/>
  <c r="S33" i="35" s="1"/>
  <c r="J31" i="36" s="1"/>
  <c r="AC36" i="34"/>
  <c r="R37" i="35" s="1"/>
  <c r="R31" i="35"/>
  <c r="S31" i="35" s="1"/>
  <c r="J29" i="36" s="1"/>
  <c r="AD9" i="7"/>
  <c r="I8" i="27" s="1"/>
  <c r="AC10" i="7"/>
  <c r="Q7" i="12" s="1"/>
  <c r="R7" i="12" s="1"/>
  <c r="J9" i="27" s="1"/>
  <c r="N20" i="12"/>
  <c r="N28" i="12"/>
  <c r="Y19" i="7"/>
  <c r="Y20" i="7" s="1"/>
  <c r="N33" i="12"/>
  <c r="O13" i="12"/>
  <c r="Y17" i="7"/>
  <c r="N23" i="12"/>
  <c r="O15" i="12"/>
  <c r="W43" i="7"/>
  <c r="W32" i="7"/>
  <c r="W37" i="7"/>
  <c r="W27" i="7"/>
  <c r="S37" i="35" l="1"/>
  <c r="J35" i="36" s="1"/>
  <c r="AC43" i="34"/>
  <c r="AD36" i="34"/>
  <c r="I35" i="36" s="1"/>
  <c r="AC37" i="34"/>
  <c r="AD37" i="34" s="1"/>
  <c r="I36" i="36" s="1"/>
  <c r="AD32" i="34"/>
  <c r="I31" i="36" s="1"/>
  <c r="AD31" i="34"/>
  <c r="I30" i="36" s="1"/>
  <c r="AC38" i="34"/>
  <c r="AC45" i="34" s="1"/>
  <c r="R32" i="35"/>
  <c r="S32" i="35" s="1"/>
  <c r="J30" i="36" s="1"/>
  <c r="AC33" i="34"/>
  <c r="AC39" i="34" s="1"/>
  <c r="AD10" i="7"/>
  <c r="I9" i="27" s="1"/>
  <c r="O16" i="12"/>
  <c r="AC11" i="7"/>
  <c r="Q8" i="12" s="1"/>
  <c r="R8" i="12" s="1"/>
  <c r="J10" i="27" s="1"/>
  <c r="N34" i="12"/>
  <c r="N24" i="12"/>
  <c r="O17" i="12"/>
  <c r="O14" i="12"/>
  <c r="Z12" i="7"/>
  <c r="AA12" i="7" s="1"/>
  <c r="W38" i="7"/>
  <c r="N29" i="12"/>
  <c r="Y21" i="7"/>
  <c r="W44" i="7"/>
  <c r="W33" i="7"/>
  <c r="W28" i="7"/>
  <c r="W34" i="7" l="1"/>
  <c r="AC44" i="34"/>
  <c r="R38" i="35"/>
  <c r="S38" i="35" s="1"/>
  <c r="J36" i="36" s="1"/>
  <c r="R39" i="35"/>
  <c r="S39" i="35" s="1"/>
  <c r="J37" i="36" s="1"/>
  <c r="AD33" i="34"/>
  <c r="I32" i="36" s="1"/>
  <c r="AD38" i="34"/>
  <c r="I37" i="36" s="1"/>
  <c r="R34" i="35"/>
  <c r="AC34" i="34"/>
  <c r="AC35" i="34" s="1"/>
  <c r="AD35" i="34" s="1"/>
  <c r="I34" i="36" s="1"/>
  <c r="AC46" i="34"/>
  <c r="R40" i="35"/>
  <c r="AD39" i="34"/>
  <c r="I38" i="36" s="1"/>
  <c r="AD11" i="7"/>
  <c r="I10" i="27" s="1"/>
  <c r="P9" i="12"/>
  <c r="N30" i="12"/>
  <c r="N35" i="12"/>
  <c r="AA13" i="7"/>
  <c r="O18" i="12"/>
  <c r="N25" i="12"/>
  <c r="Y22" i="7"/>
  <c r="W45" i="7"/>
  <c r="W39" i="7"/>
  <c r="W29" i="7"/>
  <c r="S34" i="35" l="1"/>
  <c r="J32" i="36" s="1"/>
  <c r="S40" i="35"/>
  <c r="J38" i="36" s="1"/>
  <c r="AC41" i="34"/>
  <c r="AC48" i="34" s="1"/>
  <c r="R35" i="35"/>
  <c r="R36" i="35"/>
  <c r="AC40" i="34"/>
  <c r="AC47" i="34" s="1"/>
  <c r="AD34" i="34"/>
  <c r="I33" i="36" s="1"/>
  <c r="AA14" i="7"/>
  <c r="P11" i="12" s="1"/>
  <c r="N26" i="12"/>
  <c r="N36" i="12"/>
  <c r="P10" i="12"/>
  <c r="W40" i="7"/>
  <c r="N31" i="12"/>
  <c r="Y23" i="7"/>
  <c r="O19" i="12"/>
  <c r="W46" i="7"/>
  <c r="X24" i="7"/>
  <c r="Y24" i="7" s="1"/>
  <c r="W35" i="7"/>
  <c r="S36" i="35" l="1"/>
  <c r="J34" i="36" s="1"/>
  <c r="S35" i="35"/>
  <c r="J33" i="36" s="1"/>
  <c r="R41" i="35"/>
  <c r="AD40" i="34"/>
  <c r="I39" i="36" s="1"/>
  <c r="AD41" i="34"/>
  <c r="I40" i="36" s="1"/>
  <c r="R42" i="35"/>
  <c r="S42" i="35" s="1"/>
  <c r="AA15" i="7"/>
  <c r="P12" i="12" s="1"/>
  <c r="N37" i="12"/>
  <c r="W47" i="7"/>
  <c r="M42" i="12"/>
  <c r="M44" i="12" s="1"/>
  <c r="O21" i="12"/>
  <c r="X30" i="7"/>
  <c r="Y30" i="7" s="1"/>
  <c r="N32" i="12"/>
  <c r="Z18" i="7"/>
  <c r="AA18" i="7" s="1"/>
  <c r="O20" i="12"/>
  <c r="W41" i="7"/>
  <c r="Y25" i="7"/>
  <c r="R43" i="35" l="1"/>
  <c r="R46" i="35" s="1"/>
  <c r="S46" i="35" s="1"/>
  <c r="S41" i="35"/>
  <c r="J39" i="36" s="1"/>
  <c r="AA16" i="7"/>
  <c r="AA17" i="7" s="1"/>
  <c r="O22" i="12"/>
  <c r="O27" i="12"/>
  <c r="P15" i="12"/>
  <c r="AA19" i="7"/>
  <c r="W48" i="7"/>
  <c r="N38" i="12"/>
  <c r="N39" i="12" s="1"/>
  <c r="Y31" i="7"/>
  <c r="Y36" i="7"/>
  <c r="Y26" i="7"/>
  <c r="J40" i="36" l="1"/>
  <c r="S43" i="35"/>
  <c r="R48" i="35"/>
  <c r="P13" i="12"/>
  <c r="AB12" i="7"/>
  <c r="AC12" i="7" s="1"/>
  <c r="AD12" i="7" s="1"/>
  <c r="I11" i="27" s="1"/>
  <c r="O33" i="12"/>
  <c r="O28" i="12"/>
  <c r="P14" i="12"/>
  <c r="O23" i="12"/>
  <c r="AA20" i="7"/>
  <c r="P16" i="12"/>
  <c r="Y43" i="7"/>
  <c r="Y37" i="7"/>
  <c r="Y32" i="7"/>
  <c r="Y27" i="7"/>
  <c r="J42" i="36" l="1"/>
  <c r="J44" i="36" s="1"/>
  <c r="H48" i="36" s="1"/>
  <c r="Q9" i="12"/>
  <c r="R9" i="12" s="1"/>
  <c r="J11" i="27" s="1"/>
  <c r="AC13" i="7"/>
  <c r="AD13" i="7" s="1"/>
  <c r="I12" i="27" s="1"/>
  <c r="O34" i="12"/>
  <c r="O24" i="12"/>
  <c r="Y38" i="7"/>
  <c r="O29" i="12"/>
  <c r="P17" i="12"/>
  <c r="AA21" i="7"/>
  <c r="Y44" i="7"/>
  <c r="Y28" i="7"/>
  <c r="Y33" i="7"/>
  <c r="Y34" i="7" l="1"/>
  <c r="S48" i="35"/>
  <c r="Q10" i="12"/>
  <c r="R10" i="12" s="1"/>
  <c r="J12" i="27" s="1"/>
  <c r="AC14" i="7"/>
  <c r="AD14" i="7" s="1"/>
  <c r="I13" i="27" s="1"/>
  <c r="O25" i="12"/>
  <c r="O35" i="12"/>
  <c r="Y45" i="7"/>
  <c r="O30" i="12"/>
  <c r="AA22" i="7"/>
  <c r="P18" i="12"/>
  <c r="Y29" i="7"/>
  <c r="Y39" i="7"/>
  <c r="H51" i="36" l="1"/>
  <c r="Q11" i="12"/>
  <c r="R11" i="12" s="1"/>
  <c r="J13" i="27" s="1"/>
  <c r="AC15" i="7"/>
  <c r="AD15" i="7" s="1"/>
  <c r="I14" i="27" s="1"/>
  <c r="O36" i="12"/>
  <c r="O31" i="12"/>
  <c r="O26" i="12"/>
  <c r="P19" i="12"/>
  <c r="AA23" i="7"/>
  <c r="Y40" i="7"/>
  <c r="Y35" i="7"/>
  <c r="Z24" i="7"/>
  <c r="AA24" i="7" s="1"/>
  <c r="Y46" i="7"/>
  <c r="H54" i="36" l="1"/>
  <c r="AC16" i="7"/>
  <c r="Q13" i="12" s="1"/>
  <c r="R13" i="12" s="1"/>
  <c r="J15" i="27" s="1"/>
  <c r="Q12" i="12"/>
  <c r="R12" i="12" s="1"/>
  <c r="J14" i="27" s="1"/>
  <c r="O37" i="12"/>
  <c r="O32" i="12"/>
  <c r="N42" i="12"/>
  <c r="N44" i="12" s="1"/>
  <c r="P21" i="12"/>
  <c r="AB18" i="7"/>
  <c r="AC18" i="7" s="1"/>
  <c r="P20" i="12"/>
  <c r="Z30" i="7"/>
  <c r="AA30" i="7" s="1"/>
  <c r="AA25" i="7"/>
  <c r="Y41" i="7"/>
  <c r="Y47" i="7"/>
  <c r="AD16" i="7" l="1"/>
  <c r="I15" i="27" s="1"/>
  <c r="AC17" i="7"/>
  <c r="Q14" i="12" s="1"/>
  <c r="R14" i="12" s="1"/>
  <c r="J16" i="27" s="1"/>
  <c r="O38" i="12"/>
  <c r="O39" i="12" s="1"/>
  <c r="P22" i="12"/>
  <c r="AC19" i="7"/>
  <c r="AC20" i="7" s="1"/>
  <c r="AD18" i="7"/>
  <c r="I17" i="27" s="1"/>
  <c r="Q15" i="12"/>
  <c r="R15" i="12" s="1"/>
  <c r="J17" i="27" s="1"/>
  <c r="P27" i="12"/>
  <c r="Y48" i="7"/>
  <c r="AA26" i="7"/>
  <c r="AA31" i="7"/>
  <c r="AA36" i="7"/>
  <c r="AD17" i="7" l="1"/>
  <c r="I16" i="27" s="1"/>
  <c r="P33" i="12"/>
  <c r="P28" i="12"/>
  <c r="Q17" i="12"/>
  <c r="R17" i="12" s="1"/>
  <c r="J19" i="27" s="1"/>
  <c r="AD20" i="7"/>
  <c r="I19" i="27" s="1"/>
  <c r="Q16" i="12"/>
  <c r="R16" i="12" s="1"/>
  <c r="J18" i="27" s="1"/>
  <c r="AD19" i="7"/>
  <c r="I18" i="27" s="1"/>
  <c r="AC21" i="7"/>
  <c r="P23" i="12"/>
  <c r="AA37" i="7"/>
  <c r="AA27" i="7"/>
  <c r="AA32" i="7"/>
  <c r="AA43" i="7"/>
  <c r="P34" i="12" l="1"/>
  <c r="Q18" i="12"/>
  <c r="R18" i="12" s="1"/>
  <c r="J20" i="27" s="1"/>
  <c r="AD21" i="7"/>
  <c r="I20" i="27" s="1"/>
  <c r="P24" i="12"/>
  <c r="AC22" i="7"/>
  <c r="P29" i="12"/>
  <c r="AA44" i="7"/>
  <c r="AA28" i="7"/>
  <c r="AA33" i="7"/>
  <c r="AA38" i="7"/>
  <c r="AA34" i="7" l="1"/>
  <c r="P35" i="12"/>
  <c r="Q19" i="12"/>
  <c r="R19" i="12" s="1"/>
  <c r="J21" i="27" s="1"/>
  <c r="AD22" i="7"/>
  <c r="I21" i="27" s="1"/>
  <c r="P25" i="12"/>
  <c r="AC23" i="7"/>
  <c r="P30" i="12"/>
  <c r="AA29" i="7"/>
  <c r="AA39" i="7"/>
  <c r="AA45" i="7"/>
  <c r="Q20" i="12" l="1"/>
  <c r="R20" i="12" s="1"/>
  <c r="J22" i="27" s="1"/>
  <c r="AD23" i="7"/>
  <c r="I22" i="27" s="1"/>
  <c r="P36" i="12"/>
  <c r="P31" i="12"/>
  <c r="P26" i="12"/>
  <c r="AA35" i="7"/>
  <c r="AA46" i="7"/>
  <c r="AB24" i="7"/>
  <c r="AC24" i="7" s="1"/>
  <c r="AD24" i="7" s="1"/>
  <c r="I23" i="27" s="1"/>
  <c r="AA40" i="7"/>
  <c r="P37" i="12" l="1"/>
  <c r="P32" i="12"/>
  <c r="O42" i="12"/>
  <c r="O44" i="12" s="1"/>
  <c r="Q21" i="12"/>
  <c r="R21" i="12" s="1"/>
  <c r="J23" i="27" s="1"/>
  <c r="AA41" i="7"/>
  <c r="AB30" i="7"/>
  <c r="AC30" i="7" s="1"/>
  <c r="AC25" i="7"/>
  <c r="AA47" i="7"/>
  <c r="AD30" i="7" l="1"/>
  <c r="I29" i="27" s="1"/>
  <c r="P38" i="12"/>
  <c r="P39" i="12" s="1"/>
  <c r="Q22" i="12"/>
  <c r="R22" i="12" s="1"/>
  <c r="J24" i="27" s="1"/>
  <c r="AD25" i="7"/>
  <c r="I24" i="27" s="1"/>
  <c r="Q27" i="12"/>
  <c r="R27" i="12" s="1"/>
  <c r="J29" i="27" s="1"/>
  <c r="AA48" i="7"/>
  <c r="AC26" i="7"/>
  <c r="AC36" i="7"/>
  <c r="AC31" i="7"/>
  <c r="Q28" i="12" l="1"/>
  <c r="R28" i="12" s="1"/>
  <c r="J30" i="27" s="1"/>
  <c r="AD31" i="7"/>
  <c r="I30" i="27" s="1"/>
  <c r="Q33" i="12"/>
  <c r="R33" i="12" s="1"/>
  <c r="J35" i="27" s="1"/>
  <c r="AD36" i="7"/>
  <c r="I35" i="27" s="1"/>
  <c r="Q23" i="12"/>
  <c r="R23" i="12" s="1"/>
  <c r="J25" i="27" s="1"/>
  <c r="AD26" i="7"/>
  <c r="I25" i="27" s="1"/>
  <c r="AC37" i="7"/>
  <c r="AC43" i="7"/>
  <c r="AC27" i="7"/>
  <c r="AD27" i="7" s="1"/>
  <c r="I26" i="27" s="1"/>
  <c r="AC32" i="7"/>
  <c r="AD32" i="7" s="1"/>
  <c r="I31" i="27" s="1"/>
  <c r="Q34" i="12" l="1"/>
  <c r="R34" i="12" s="1"/>
  <c r="J36" i="27" s="1"/>
  <c r="AD37" i="7"/>
  <c r="I36" i="27" s="1"/>
  <c r="Q24" i="12"/>
  <c r="R24" i="12" s="1"/>
  <c r="J26" i="27" s="1"/>
  <c r="AC38" i="7"/>
  <c r="Q29" i="12"/>
  <c r="R29" i="12" s="1"/>
  <c r="J31" i="27" s="1"/>
  <c r="AC44" i="7"/>
  <c r="AC33" i="7"/>
  <c r="AD33" i="7" s="1"/>
  <c r="I32" i="27" s="1"/>
  <c r="AC28" i="7"/>
  <c r="AC34" i="7" l="1"/>
  <c r="Q25" i="12"/>
  <c r="R25" i="12" s="1"/>
  <c r="J27" i="27" s="1"/>
  <c r="AD28" i="7"/>
  <c r="I27" i="27" s="1"/>
  <c r="Q35" i="12"/>
  <c r="R35" i="12" s="1"/>
  <c r="J37" i="27" s="1"/>
  <c r="AD38" i="7"/>
  <c r="I37" i="27" s="1"/>
  <c r="AC45" i="7"/>
  <c r="Q30" i="12"/>
  <c r="R30" i="12" s="1"/>
  <c r="J32" i="27" s="1"/>
  <c r="AC29" i="7"/>
  <c r="AC39" i="7"/>
  <c r="Q26" i="12" l="1"/>
  <c r="R26" i="12" s="1"/>
  <c r="J28" i="27" s="1"/>
  <c r="AD29" i="7"/>
  <c r="I28" i="27" s="1"/>
  <c r="Q31" i="12"/>
  <c r="R31" i="12" s="1"/>
  <c r="J33" i="27" s="1"/>
  <c r="AD34" i="7"/>
  <c r="I33" i="27" s="1"/>
  <c r="Q36" i="12"/>
  <c r="R36" i="12" s="1"/>
  <c r="J38" i="27" s="1"/>
  <c r="AD39" i="7"/>
  <c r="I38" i="27" s="1"/>
  <c r="AC40" i="7"/>
  <c r="AC46" i="7"/>
  <c r="AC35" i="7"/>
  <c r="Q32" i="12" l="1"/>
  <c r="R32" i="12" s="1"/>
  <c r="J34" i="27" s="1"/>
  <c r="AD35" i="7"/>
  <c r="I34" i="27" s="1"/>
  <c r="Q37" i="12"/>
  <c r="R37" i="12" s="1"/>
  <c r="J39" i="27" s="1"/>
  <c r="AD40" i="7"/>
  <c r="I39" i="27" s="1"/>
  <c r="P42" i="12"/>
  <c r="P44" i="12" s="1"/>
  <c r="AC47" i="7"/>
  <c r="AC41" i="7"/>
  <c r="Q38" i="12" l="1"/>
  <c r="AD41" i="7"/>
  <c r="I40" i="27" s="1"/>
  <c r="AC48" i="7"/>
  <c r="R38" i="12" l="1"/>
  <c r="J40" i="27" s="1"/>
  <c r="Q39" i="12"/>
  <c r="Q42" i="12" s="1"/>
  <c r="R42" i="12" s="1"/>
  <c r="R39" i="12" l="1"/>
  <c r="J42" i="27"/>
  <c r="J44" i="27" s="1"/>
  <c r="H48" i="27" s="1"/>
  <c r="Q44" i="12"/>
  <c r="R44" i="12" s="1"/>
  <c r="G16" i="31"/>
  <c r="F13" i="32" s="1"/>
  <c r="F12" i="32"/>
  <c r="G21" i="31"/>
  <c r="H51" i="27" l="1"/>
  <c r="H54" i="27"/>
  <c r="G22" i="31"/>
  <c r="F18" i="32"/>
  <c r="G27" i="31"/>
  <c r="G17" i="31"/>
  <c r="G23" i="31" l="1"/>
  <c r="F20" i="32" s="1"/>
  <c r="G28" i="31"/>
  <c r="F24" i="32"/>
  <c r="F19" i="32"/>
  <c r="F14" i="32"/>
  <c r="H12" i="31"/>
  <c r="G33" i="31"/>
  <c r="G39" i="31" s="1"/>
  <c r="H18" i="31" l="1"/>
  <c r="G29" i="31"/>
  <c r="F26" i="32" s="1"/>
  <c r="G46" i="31"/>
  <c r="F36" i="32"/>
  <c r="F30" i="32"/>
  <c r="G34" i="31"/>
  <c r="F25" i="32"/>
  <c r="I12" i="31"/>
  <c r="H24" i="31" l="1"/>
  <c r="G40" i="31"/>
  <c r="F31" i="32"/>
  <c r="G35" i="31"/>
  <c r="G9" i="32"/>
  <c r="I13" i="31"/>
  <c r="I18" i="31"/>
  <c r="I19" i="31" l="1"/>
  <c r="G15" i="32"/>
  <c r="F32" i="32"/>
  <c r="G41" i="31"/>
  <c r="G48" i="31" s="1"/>
  <c r="I14" i="31"/>
  <c r="G10" i="32"/>
  <c r="F37" i="32"/>
  <c r="I24" i="31"/>
  <c r="G47" i="31"/>
  <c r="H30" i="31"/>
  <c r="I30" i="31" l="1"/>
  <c r="G27" i="32" s="1"/>
  <c r="I20" i="31"/>
  <c r="G17" i="32" s="1"/>
  <c r="G11" i="32"/>
  <c r="F38" i="32"/>
  <c r="G21" i="32"/>
  <c r="I25" i="31"/>
  <c r="G16" i="32"/>
  <c r="I15" i="31"/>
  <c r="I31" i="31" l="1"/>
  <c r="G28" i="32" s="1"/>
  <c r="I36" i="31"/>
  <c r="G33" i="32" s="1"/>
  <c r="I26" i="31"/>
  <c r="G12" i="32"/>
  <c r="I16" i="31"/>
  <c r="G22" i="32"/>
  <c r="F39" i="32"/>
  <c r="I21" i="31"/>
  <c r="I37" i="31" l="1"/>
  <c r="I44" i="31" s="1"/>
  <c r="I43" i="31"/>
  <c r="I32" i="31"/>
  <c r="G29" i="32" s="1"/>
  <c r="G23" i="32"/>
  <c r="I17" i="31"/>
  <c r="J12" i="31" s="1"/>
  <c r="K12" i="31" s="1"/>
  <c r="I27" i="31"/>
  <c r="G24" i="32" s="1"/>
  <c r="G18" i="32"/>
  <c r="I22" i="31"/>
  <c r="F42" i="32"/>
  <c r="G13" i="32"/>
  <c r="G34" i="32" l="1"/>
  <c r="G14" i="32"/>
  <c r="I38" i="31"/>
  <c r="G35" i="32" s="1"/>
  <c r="I33" i="31"/>
  <c r="I39" i="31" s="1"/>
  <c r="I46" i="31" s="1"/>
  <c r="I23" i="31"/>
  <c r="J18" i="31" s="1"/>
  <c r="K18" i="31" s="1"/>
  <c r="I28" i="31"/>
  <c r="F44" i="32"/>
  <c r="G19" i="32"/>
  <c r="K13" i="31"/>
  <c r="H9" i="32"/>
  <c r="G30" i="32" l="1"/>
  <c r="G20" i="32"/>
  <c r="I34" i="31"/>
  <c r="G31" i="32" s="1"/>
  <c r="I45" i="31"/>
  <c r="G25" i="32"/>
  <c r="I29" i="31"/>
  <c r="G26" i="32" s="1"/>
  <c r="H15" i="32"/>
  <c r="K19" i="31"/>
  <c r="H10" i="32"/>
  <c r="G36" i="32"/>
  <c r="K14" i="31"/>
  <c r="I40" i="31" l="1"/>
  <c r="G37" i="32" s="1"/>
  <c r="K20" i="31"/>
  <c r="H17" i="32" s="1"/>
  <c r="I35" i="31"/>
  <c r="J24" i="31"/>
  <c r="K24" i="31" s="1"/>
  <c r="K25" i="31" s="1"/>
  <c r="K15" i="31"/>
  <c r="K16" i="31" s="1"/>
  <c r="H11" i="32"/>
  <c r="H16" i="32"/>
  <c r="I47" i="31" l="1"/>
  <c r="H21" i="32"/>
  <c r="I41" i="31"/>
  <c r="G38" i="32" s="1"/>
  <c r="G32" i="32"/>
  <c r="J30" i="31"/>
  <c r="K30" i="31" s="1"/>
  <c r="K21" i="31"/>
  <c r="H18" i="32" s="1"/>
  <c r="H22" i="32"/>
  <c r="H13" i="32"/>
  <c r="H12" i="32"/>
  <c r="K17" i="31"/>
  <c r="L12" i="31" s="1"/>
  <c r="K26" i="31"/>
  <c r="G39" i="32" l="1"/>
  <c r="G42" i="32" s="1"/>
  <c r="G44" i="32" s="1"/>
  <c r="K27" i="31"/>
  <c r="K22" i="31"/>
  <c r="K23" i="31" s="1"/>
  <c r="H20" i="32" s="1"/>
  <c r="K36" i="31"/>
  <c r="H27" i="32"/>
  <c r="K31" i="31"/>
  <c r="K37" i="31" s="1"/>
  <c r="H34" i="32" s="1"/>
  <c r="I48" i="31"/>
  <c r="H23" i="32"/>
  <c r="M12" i="31"/>
  <c r="H14" i="32"/>
  <c r="H28" i="32" l="1"/>
  <c r="K28" i="31"/>
  <c r="K29" i="31" s="1"/>
  <c r="L24" i="31" s="1"/>
  <c r="H19" i="32"/>
  <c r="K44" i="31"/>
  <c r="K32" i="31"/>
  <c r="H29" i="32" s="1"/>
  <c r="H24" i="32"/>
  <c r="L18" i="31"/>
  <c r="M18" i="31" s="1"/>
  <c r="K43" i="31"/>
  <c r="H33" i="32"/>
  <c r="M13" i="31"/>
  <c r="M14" i="31" s="1"/>
  <c r="I9" i="32"/>
  <c r="H25" i="32" l="1"/>
  <c r="K33" i="31"/>
  <c r="K39" i="31" s="1"/>
  <c r="K38" i="31"/>
  <c r="H35" i="32" s="1"/>
  <c r="M24" i="31"/>
  <c r="I11" i="32"/>
  <c r="H26" i="32"/>
  <c r="M15" i="31"/>
  <c r="M19" i="31"/>
  <c r="I15" i="32"/>
  <c r="I10" i="32"/>
  <c r="K34" i="31" l="1"/>
  <c r="H31" i="32" s="1"/>
  <c r="H30" i="32"/>
  <c r="K45" i="31"/>
  <c r="H36" i="32"/>
  <c r="M16" i="31"/>
  <c r="M20" i="31"/>
  <c r="I16" i="32"/>
  <c r="I12" i="32"/>
  <c r="K46" i="31"/>
  <c r="I21" i="32"/>
  <c r="M25" i="31"/>
  <c r="K35" i="31" l="1"/>
  <c r="K41" i="31" s="1"/>
  <c r="K48" i="31" s="1"/>
  <c r="K40" i="31"/>
  <c r="K47" i="31" s="1"/>
  <c r="M17" i="31"/>
  <c r="N12" i="31" s="1"/>
  <c r="O12" i="31" s="1"/>
  <c r="M26" i="31"/>
  <c r="I17" i="32"/>
  <c r="I22" i="32"/>
  <c r="I13" i="32"/>
  <c r="M21" i="31"/>
  <c r="M22" i="31" s="1"/>
  <c r="H32" i="32" l="1"/>
  <c r="H37" i="32"/>
  <c r="L30" i="31"/>
  <c r="M30" i="31" s="1"/>
  <c r="M27" i="31"/>
  <c r="I24" i="32" s="1"/>
  <c r="I14" i="32"/>
  <c r="I19" i="32"/>
  <c r="I23" i="32"/>
  <c r="I18" i="32"/>
  <c r="O13" i="31"/>
  <c r="O14" i="31" s="1"/>
  <c r="J9" i="32"/>
  <c r="M23" i="31"/>
  <c r="H38" i="32"/>
  <c r="M28" i="31" l="1"/>
  <c r="M29" i="31" s="1"/>
  <c r="J11" i="32"/>
  <c r="I20" i="32"/>
  <c r="I27" i="32"/>
  <c r="M31" i="31"/>
  <c r="M36" i="31"/>
  <c r="N18" i="31"/>
  <c r="J10" i="32"/>
  <c r="H39" i="32"/>
  <c r="O15" i="31"/>
  <c r="O16" i="31" s="1"/>
  <c r="I25" i="32" l="1"/>
  <c r="J13" i="32"/>
  <c r="O17" i="31"/>
  <c r="I33" i="32"/>
  <c r="H42" i="32"/>
  <c r="M43" i="31"/>
  <c r="I28" i="32"/>
  <c r="M37" i="31"/>
  <c r="M32" i="31"/>
  <c r="J12" i="32"/>
  <c r="O18" i="31"/>
  <c r="I26" i="32"/>
  <c r="N24" i="31"/>
  <c r="J15" i="32" l="1"/>
  <c r="O19" i="31"/>
  <c r="O24" i="31"/>
  <c r="J14" i="32"/>
  <c r="P12" i="31"/>
  <c r="I34" i="32"/>
  <c r="M44" i="31"/>
  <c r="I29" i="32"/>
  <c r="M38" i="31"/>
  <c r="M45" i="31" s="1"/>
  <c r="M33" i="31"/>
  <c r="M34" i="31" s="1"/>
  <c r="H44" i="32"/>
  <c r="O20" i="31" l="1"/>
  <c r="O21" i="31" s="1"/>
  <c r="J18" i="32" s="1"/>
  <c r="Q12" i="31"/>
  <c r="I30" i="32"/>
  <c r="M39" i="31"/>
  <c r="J21" i="32"/>
  <c r="O25" i="31"/>
  <c r="I31" i="32"/>
  <c r="M40" i="31"/>
  <c r="M35" i="31"/>
  <c r="I35" i="32"/>
  <c r="J16" i="32"/>
  <c r="J17" i="32" l="1"/>
  <c r="O22" i="31"/>
  <c r="O23" i="31" s="1"/>
  <c r="J20" i="32" s="1"/>
  <c r="J22" i="32"/>
  <c r="I36" i="32"/>
  <c r="I37" i="32"/>
  <c r="M47" i="31"/>
  <c r="O26" i="31"/>
  <c r="O27" i="31" s="1"/>
  <c r="Q13" i="31"/>
  <c r="Q14" i="31" s="1"/>
  <c r="K9" i="32"/>
  <c r="I32" i="32"/>
  <c r="M41" i="31"/>
  <c r="M48" i="31" s="1"/>
  <c r="M46" i="31"/>
  <c r="N30" i="31"/>
  <c r="J19" i="32" l="1"/>
  <c r="Q15" i="31"/>
  <c r="Q16" i="31" s="1"/>
  <c r="K13" i="32" s="1"/>
  <c r="P18" i="31"/>
  <c r="Q18" i="31" s="1"/>
  <c r="Q19" i="31" s="1"/>
  <c r="J24" i="32"/>
  <c r="J23" i="32"/>
  <c r="I38" i="32"/>
  <c r="O30" i="31"/>
  <c r="K11" i="32"/>
  <c r="K10" i="32"/>
  <c r="O28" i="31"/>
  <c r="K15" i="32" l="1"/>
  <c r="K12" i="32"/>
  <c r="Q17" i="31"/>
  <c r="R12" i="31" s="1"/>
  <c r="S12" i="31" s="1"/>
  <c r="O29" i="31"/>
  <c r="P24" i="31" s="1"/>
  <c r="Q24" i="31" s="1"/>
  <c r="I39" i="32"/>
  <c r="K16" i="32"/>
  <c r="J27" i="32"/>
  <c r="O36" i="31"/>
  <c r="O31" i="31"/>
  <c r="J25" i="32"/>
  <c r="Q20" i="31"/>
  <c r="Q21" i="31" s="1"/>
  <c r="K14" i="32" l="1"/>
  <c r="J26" i="32"/>
  <c r="K18" i="32"/>
  <c r="J28" i="32"/>
  <c r="O37" i="31"/>
  <c r="O44" i="31" s="1"/>
  <c r="K17" i="32"/>
  <c r="Q22" i="31"/>
  <c r="Q23" i="31" s="1"/>
  <c r="R18" i="31" s="1"/>
  <c r="J33" i="32"/>
  <c r="O32" i="31"/>
  <c r="O33" i="31" s="1"/>
  <c r="I42" i="32"/>
  <c r="L9" i="32"/>
  <c r="S13" i="31"/>
  <c r="K21" i="32"/>
  <c r="Q25" i="31"/>
  <c r="O43" i="31"/>
  <c r="O34" i="31" l="1"/>
  <c r="J30" i="32"/>
  <c r="O39" i="31"/>
  <c r="O46" i="31" s="1"/>
  <c r="K22" i="32"/>
  <c r="L10" i="32"/>
  <c r="S18" i="31"/>
  <c r="K19" i="32"/>
  <c r="Q26" i="31"/>
  <c r="Q27" i="31" s="1"/>
  <c r="J29" i="32"/>
  <c r="O38" i="31"/>
  <c r="O45" i="31" s="1"/>
  <c r="S14" i="31"/>
  <c r="S15" i="31" s="1"/>
  <c r="I44" i="32"/>
  <c r="K20" i="32"/>
  <c r="J34" i="32"/>
  <c r="S16" i="31" l="1"/>
  <c r="S17" i="31" s="1"/>
  <c r="L14" i="32" s="1"/>
  <c r="K24" i="32"/>
  <c r="Q28" i="31"/>
  <c r="Q29" i="31" s="1"/>
  <c r="L12" i="32"/>
  <c r="S19" i="31"/>
  <c r="S20" i="31" s="1"/>
  <c r="L15" i="32"/>
  <c r="L11" i="32"/>
  <c r="J36" i="32"/>
  <c r="J31" i="32"/>
  <c r="O40" i="31"/>
  <c r="J35" i="32"/>
  <c r="K23" i="32"/>
  <c r="O35" i="31"/>
  <c r="L13" i="32" l="1"/>
  <c r="T12" i="31"/>
  <c r="U12" i="31" s="1"/>
  <c r="J32" i="32"/>
  <c r="O41" i="31"/>
  <c r="P30" i="31"/>
  <c r="J37" i="32"/>
  <c r="K26" i="32"/>
  <c r="L16" i="32"/>
  <c r="K25" i="32"/>
  <c r="L17" i="32"/>
  <c r="O47" i="31"/>
  <c r="S21" i="31"/>
  <c r="R24" i="31"/>
  <c r="S24" i="31" l="1"/>
  <c r="L18" i="32"/>
  <c r="M9" i="32"/>
  <c r="U13" i="31"/>
  <c r="S22" i="31"/>
  <c r="Q30" i="31"/>
  <c r="J38" i="32"/>
  <c r="J39" i="32" s="1"/>
  <c r="O48" i="31"/>
  <c r="J42" i="32" l="1"/>
  <c r="L21" i="32"/>
  <c r="S25" i="31"/>
  <c r="S23" i="31"/>
  <c r="M10" i="32"/>
  <c r="U14" i="31"/>
  <c r="L19" i="32"/>
  <c r="K27" i="32"/>
  <c r="Q36" i="31"/>
  <c r="Q43" i="31" s="1"/>
  <c r="Q31" i="31"/>
  <c r="K33" i="32" l="1"/>
  <c r="U15" i="31"/>
  <c r="S26" i="31"/>
  <c r="J44" i="32"/>
  <c r="K28" i="32"/>
  <c r="Q37" i="31"/>
  <c r="M11" i="32"/>
  <c r="L20" i="32"/>
  <c r="L22" i="32"/>
  <c r="T18" i="31"/>
  <c r="Q32" i="31"/>
  <c r="U16" i="31" l="1"/>
  <c r="K29" i="32"/>
  <c r="Q38" i="31"/>
  <c r="K34" i="32"/>
  <c r="U18" i="31"/>
  <c r="L23" i="32"/>
  <c r="S27" i="31"/>
  <c r="M12" i="32"/>
  <c r="Q33" i="31"/>
  <c r="Q34" i="31" s="1"/>
  <c r="Q44" i="31"/>
  <c r="U17" i="31" l="1"/>
  <c r="M14" i="32" s="1"/>
  <c r="M13" i="32"/>
  <c r="K30" i="32"/>
  <c r="Q39" i="31"/>
  <c r="M15" i="32"/>
  <c r="U19" i="31"/>
  <c r="U20" i="31" s="1"/>
  <c r="K35" i="32"/>
  <c r="Q35" i="31"/>
  <c r="Q45" i="31"/>
  <c r="L24" i="32"/>
  <c r="S28" i="31"/>
  <c r="U21" i="31" l="1"/>
  <c r="U22" i="31" s="1"/>
  <c r="U23" i="31" s="1"/>
  <c r="V12" i="31"/>
  <c r="W12" i="31" s="1"/>
  <c r="K31" i="32"/>
  <c r="Q40" i="31"/>
  <c r="Q47" i="31" s="1"/>
  <c r="K36" i="32"/>
  <c r="L25" i="32"/>
  <c r="S29" i="31"/>
  <c r="Q46" i="31"/>
  <c r="K32" i="32"/>
  <c r="Q41" i="31"/>
  <c r="Q48" i="31" s="1"/>
  <c r="M17" i="32"/>
  <c r="M16" i="32"/>
  <c r="R30" i="31"/>
  <c r="M18" i="32" l="1"/>
  <c r="W13" i="31"/>
  <c r="W14" i="31" s="1"/>
  <c r="N11" i="32" s="1"/>
  <c r="N9" i="32"/>
  <c r="S30" i="31"/>
  <c r="L26" i="32"/>
  <c r="M20" i="32"/>
  <c r="T24" i="31"/>
  <c r="K38" i="32"/>
  <c r="M19" i="32"/>
  <c r="K37" i="32"/>
  <c r="V18" i="31"/>
  <c r="K39" i="32" l="1"/>
  <c r="K42" i="32" s="1"/>
  <c r="K44" i="32" s="1"/>
  <c r="W15" i="31"/>
  <c r="W16" i="31" s="1"/>
  <c r="N13" i="32" s="1"/>
  <c r="N10" i="32"/>
  <c r="W18" i="31"/>
  <c r="U24" i="31"/>
  <c r="S36" i="31"/>
  <c r="S43" i="31" s="1"/>
  <c r="L27" i="32"/>
  <c r="S31" i="31"/>
  <c r="S32" i="31" s="1"/>
  <c r="N12" i="32" l="1"/>
  <c r="W17" i="31"/>
  <c r="N14" i="32" s="1"/>
  <c r="L29" i="32"/>
  <c r="S38" i="31"/>
  <c r="S45" i="31" s="1"/>
  <c r="W19" i="31"/>
  <c r="W20" i="31" s="1"/>
  <c r="N15" i="32"/>
  <c r="S33" i="31"/>
  <c r="S34" i="31" s="1"/>
  <c r="M21" i="32"/>
  <c r="U25" i="31"/>
  <c r="U26" i="31" s="1"/>
  <c r="L33" i="32"/>
  <c r="L28" i="32"/>
  <c r="S37" i="31"/>
  <c r="S35" i="31" l="1"/>
  <c r="X12" i="31"/>
  <c r="Y12" i="31" s="1"/>
  <c r="O9" i="32" s="1"/>
  <c r="N17" i="32"/>
  <c r="L34" i="32"/>
  <c r="S44" i="31"/>
  <c r="M22" i="32"/>
  <c r="L30" i="32"/>
  <c r="S39" i="31"/>
  <c r="S46" i="31" s="1"/>
  <c r="M23" i="32"/>
  <c r="N16" i="32"/>
  <c r="U27" i="31"/>
  <c r="U28" i="31" s="1"/>
  <c r="W21" i="31"/>
  <c r="L35" i="32"/>
  <c r="S40" i="31" l="1"/>
  <c r="S47" i="31" s="1"/>
  <c r="L31" i="32"/>
  <c r="S41" i="31"/>
  <c r="S48" i="31" s="1"/>
  <c r="L32" i="32"/>
  <c r="Y13" i="31"/>
  <c r="Y14" i="31" s="1"/>
  <c r="Y15" i="31" s="1"/>
  <c r="T30" i="31"/>
  <c r="U30" i="31" s="1"/>
  <c r="M25" i="32"/>
  <c r="N18" i="32"/>
  <c r="W22" i="31"/>
  <c r="M24" i="32"/>
  <c r="L36" i="32"/>
  <c r="U29" i="31"/>
  <c r="U31" i="31" l="1"/>
  <c r="M28" i="32" s="1"/>
  <c r="O10" i="32"/>
  <c r="L37" i="32"/>
  <c r="L38" i="32"/>
  <c r="U36" i="31"/>
  <c r="M33" i="32" s="1"/>
  <c r="M27" i="32"/>
  <c r="O12" i="32"/>
  <c r="N19" i="32"/>
  <c r="M26" i="32"/>
  <c r="W23" i="31"/>
  <c r="O11" i="32"/>
  <c r="Y16" i="31"/>
  <c r="Y17" i="31" s="1"/>
  <c r="V24" i="31"/>
  <c r="U32" i="31" l="1"/>
  <c r="U33" i="31" s="1"/>
  <c r="U34" i="31" s="1"/>
  <c r="U37" i="31"/>
  <c r="U44" i="31" s="1"/>
  <c r="U43" i="31"/>
  <c r="L39" i="32"/>
  <c r="L42" i="32" s="1"/>
  <c r="L44" i="32" s="1"/>
  <c r="O14" i="32"/>
  <c r="W24" i="31"/>
  <c r="O13" i="32"/>
  <c r="N20" i="32"/>
  <c r="Z12" i="31"/>
  <c r="X18" i="31"/>
  <c r="U38" i="31" l="1"/>
  <c r="U45" i="31" s="1"/>
  <c r="M29" i="32"/>
  <c r="M34" i="32"/>
  <c r="AA12" i="31"/>
  <c r="M31" i="32"/>
  <c r="U40" i="31"/>
  <c r="M30" i="32"/>
  <c r="U39" i="31"/>
  <c r="U46" i="31" s="1"/>
  <c r="U35" i="31"/>
  <c r="W25" i="31"/>
  <c r="N21" i="32"/>
  <c r="Y18" i="31"/>
  <c r="M35" i="32" l="1"/>
  <c r="N22" i="32"/>
  <c r="M32" i="32"/>
  <c r="U41" i="31"/>
  <c r="U48" i="31" s="1"/>
  <c r="O15" i="32"/>
  <c r="Y19" i="31"/>
  <c r="Y20" i="31" s="1"/>
  <c r="Y21" i="31" s="1"/>
  <c r="W26" i="31"/>
  <c r="W27" i="31" s="1"/>
  <c r="W28" i="31" s="1"/>
  <c r="M37" i="32"/>
  <c r="P9" i="32"/>
  <c r="AA13" i="31"/>
  <c r="AA14" i="31" s="1"/>
  <c r="V30" i="31"/>
  <c r="M36" i="32"/>
  <c r="U47" i="31"/>
  <c r="W29" i="31" l="1"/>
  <c r="N26" i="32" s="1"/>
  <c r="O18" i="32"/>
  <c r="P11" i="32"/>
  <c r="P10" i="32"/>
  <c r="AA15" i="31"/>
  <c r="AA16" i="31" s="1"/>
  <c r="N24" i="32"/>
  <c r="O17" i="32"/>
  <c r="Y22" i="31"/>
  <c r="Y23" i="31" s="1"/>
  <c r="W30" i="31"/>
  <c r="N25" i="32"/>
  <c r="N23" i="32"/>
  <c r="O16" i="32"/>
  <c r="M38" i="32"/>
  <c r="M39" i="32" s="1"/>
  <c r="M42" i="32" s="1"/>
  <c r="M44" i="32" s="1"/>
  <c r="X24" i="31" l="1"/>
  <c r="Y24" i="31" s="1"/>
  <c r="O19" i="32"/>
  <c r="P12" i="32"/>
  <c r="P13" i="32"/>
  <c r="O20" i="32"/>
  <c r="W36" i="31"/>
  <c r="W43" i="31" s="1"/>
  <c r="N27" i="32"/>
  <c r="W31" i="31"/>
  <c r="W32" i="31" s="1"/>
  <c r="AA17" i="31"/>
  <c r="Z18" i="31"/>
  <c r="N29" i="32" l="1"/>
  <c r="W38" i="31"/>
  <c r="AA18" i="31"/>
  <c r="N28" i="32"/>
  <c r="W37" i="31"/>
  <c r="W44" i="31" s="1"/>
  <c r="N33" i="32"/>
  <c r="O21" i="32"/>
  <c r="Y25" i="31"/>
  <c r="P14" i="32"/>
  <c r="W33" i="31"/>
  <c r="W34" i="31" s="1"/>
  <c r="AB12" i="31"/>
  <c r="AC12" i="31" s="1"/>
  <c r="N31" i="32" l="1"/>
  <c r="W40" i="31"/>
  <c r="O22" i="32"/>
  <c r="N35" i="32"/>
  <c r="W35" i="31"/>
  <c r="Y26" i="31"/>
  <c r="Y27" i="31" s="1"/>
  <c r="N34" i="32"/>
  <c r="AC13" i="31"/>
  <c r="AC14" i="31" s="1"/>
  <c r="Q9" i="32"/>
  <c r="AD12" i="31"/>
  <c r="I11" i="29" s="1"/>
  <c r="N30" i="32"/>
  <c r="W39" i="31"/>
  <c r="P15" i="32"/>
  <c r="AA19" i="31"/>
  <c r="W45" i="31"/>
  <c r="Y28" i="31" l="1"/>
  <c r="O25" i="32" s="1"/>
  <c r="O24" i="32"/>
  <c r="N32" i="32"/>
  <c r="W41" i="31"/>
  <c r="N36" i="32"/>
  <c r="N37" i="32"/>
  <c r="AA20" i="31"/>
  <c r="AA21" i="31" s="1"/>
  <c r="W46" i="31"/>
  <c r="R9" i="32"/>
  <c r="J11" i="29" s="1"/>
  <c r="Q10" i="32"/>
  <c r="R10" i="32" s="1"/>
  <c r="J12" i="29" s="1"/>
  <c r="AD13" i="31"/>
  <c r="I12" i="29" s="1"/>
  <c r="W47" i="31"/>
  <c r="P16" i="32"/>
  <c r="Q11" i="32"/>
  <c r="R11" i="32" s="1"/>
  <c r="J13" i="29" s="1"/>
  <c r="AD14" i="31"/>
  <c r="I13" i="29" s="1"/>
  <c r="AC15" i="31"/>
  <c r="AC16" i="31" s="1"/>
  <c r="X30" i="31"/>
  <c r="O23" i="32"/>
  <c r="Y29" i="31" l="1"/>
  <c r="Z24" i="31" s="1"/>
  <c r="AA24" i="31" s="1"/>
  <c r="N38" i="32"/>
  <c r="N39" i="32" s="1"/>
  <c r="N42" i="32" s="1"/>
  <c r="N44" i="32" s="1"/>
  <c r="Y30" i="31"/>
  <c r="Q12" i="32"/>
  <c r="AD15" i="31"/>
  <c r="I14" i="29" s="1"/>
  <c r="AC17" i="31"/>
  <c r="P17" i="32"/>
  <c r="Q13" i="32"/>
  <c r="R13" i="32" s="1"/>
  <c r="J15" i="29" s="1"/>
  <c r="AD16" i="31"/>
  <c r="I15" i="29" s="1"/>
  <c r="P18" i="32"/>
  <c r="W48" i="31"/>
  <c r="AA22" i="31"/>
  <c r="AA23" i="31" s="1"/>
  <c r="O26" i="32" l="1"/>
  <c r="P19" i="32"/>
  <c r="AB18" i="31"/>
  <c r="AC18" i="31" s="1"/>
  <c r="P21" i="32"/>
  <c r="AA25" i="31"/>
  <c r="AA26" i="31" s="1"/>
  <c r="P20" i="32"/>
  <c r="O27" i="32"/>
  <c r="Y31" i="31"/>
  <c r="Y32" i="31" s="1"/>
  <c r="Y36" i="31"/>
  <c r="Y43" i="31" s="1"/>
  <c r="R12" i="32"/>
  <c r="J14" i="29" s="1"/>
  <c r="Q14" i="32"/>
  <c r="R14" i="32" s="1"/>
  <c r="J16" i="29" s="1"/>
  <c r="AD17" i="31"/>
  <c r="I16" i="29" s="1"/>
  <c r="O29" i="32" l="1"/>
  <c r="Y38" i="31"/>
  <c r="Y45" i="31" s="1"/>
  <c r="Y33" i="31"/>
  <c r="Y34" i="31" s="1"/>
  <c r="P23" i="32"/>
  <c r="AA27" i="31"/>
  <c r="Q15" i="32"/>
  <c r="AC19" i="31"/>
  <c r="AD18" i="31"/>
  <c r="I17" i="29" s="1"/>
  <c r="O33" i="32"/>
  <c r="O28" i="32"/>
  <c r="Y37" i="31"/>
  <c r="Y44" i="31" s="1"/>
  <c r="P22" i="32"/>
  <c r="Y35" i="31" l="1"/>
  <c r="P24" i="32"/>
  <c r="AA28" i="31"/>
  <c r="AA29" i="31" s="1"/>
  <c r="O35" i="32"/>
  <c r="Q16" i="32"/>
  <c r="R16" i="32" s="1"/>
  <c r="J18" i="29" s="1"/>
  <c r="AD19" i="31"/>
  <c r="I18" i="29" s="1"/>
  <c r="O34" i="32"/>
  <c r="AC20" i="31"/>
  <c r="R15" i="32"/>
  <c r="J17" i="29" s="1"/>
  <c r="O30" i="32"/>
  <c r="Y39" i="31"/>
  <c r="Y46" i="31" s="1"/>
  <c r="Y40" i="31" l="1"/>
  <c r="O37" i="32" s="1"/>
  <c r="O31" i="32"/>
  <c r="Y41" i="31"/>
  <c r="O38" i="32" s="1"/>
  <c r="O32" i="32"/>
  <c r="Z30" i="31"/>
  <c r="AA30" i="31" s="1"/>
  <c r="P25" i="32"/>
  <c r="AB24" i="31"/>
  <c r="AC24" i="31" s="1"/>
  <c r="Q17" i="32"/>
  <c r="R17" i="32" s="1"/>
  <c r="J19" i="29" s="1"/>
  <c r="AD20" i="31"/>
  <c r="I19" i="29" s="1"/>
  <c r="AC21" i="31"/>
  <c r="P26" i="32"/>
  <c r="O36" i="32"/>
  <c r="Y47" i="31" l="1"/>
  <c r="Y48" i="31"/>
  <c r="O39" i="32"/>
  <c r="O42" i="32" s="1"/>
  <c r="O44" i="32" s="1"/>
  <c r="Q18" i="32"/>
  <c r="R18" i="32" s="1"/>
  <c r="J20" i="29" s="1"/>
  <c r="AD21" i="31"/>
  <c r="I20" i="29" s="1"/>
  <c r="Q21" i="32"/>
  <c r="R21" i="32" s="1"/>
  <c r="J23" i="29" s="1"/>
  <c r="AC25" i="31"/>
  <c r="AD24" i="31"/>
  <c r="I23" i="29" s="1"/>
  <c r="AC22" i="31"/>
  <c r="P27" i="32"/>
  <c r="AA36" i="31"/>
  <c r="AA31" i="31"/>
  <c r="Q22" i="32" l="1"/>
  <c r="R22" i="32" s="1"/>
  <c r="J24" i="29" s="1"/>
  <c r="AD25" i="31"/>
  <c r="I24" i="29" s="1"/>
  <c r="AC26" i="31"/>
  <c r="P33" i="32"/>
  <c r="P28" i="32"/>
  <c r="AA37" i="31"/>
  <c r="AA43" i="31"/>
  <c r="AA32" i="31"/>
  <c r="Q19" i="32"/>
  <c r="R19" i="32" s="1"/>
  <c r="J21" i="29" s="1"/>
  <c r="AD22" i="31"/>
  <c r="I21" i="29" s="1"/>
  <c r="AC23" i="31"/>
  <c r="AA33" i="31" l="1"/>
  <c r="AA34" i="31" s="1"/>
  <c r="P34" i="32"/>
  <c r="AA44" i="31"/>
  <c r="Q20" i="32"/>
  <c r="R20" i="32" s="1"/>
  <c r="J22" i="29" s="1"/>
  <c r="AD23" i="31"/>
  <c r="I22" i="29" s="1"/>
  <c r="Q23" i="32"/>
  <c r="R23" i="32" s="1"/>
  <c r="J25" i="29" s="1"/>
  <c r="AD26" i="31"/>
  <c r="I25" i="29" s="1"/>
  <c r="AC27" i="31"/>
  <c r="AC28" i="31" s="1"/>
  <c r="P29" i="32"/>
  <c r="AA38" i="31"/>
  <c r="AA45" i="31" s="1"/>
  <c r="AA39" i="31" l="1"/>
  <c r="AA46" i="31" s="1"/>
  <c r="P30" i="32"/>
  <c r="AA35" i="31"/>
  <c r="AB30" i="31" s="1"/>
  <c r="AC30" i="31" s="1"/>
  <c r="Q25" i="32"/>
  <c r="R25" i="32" s="1"/>
  <c r="J27" i="29" s="1"/>
  <c r="AD28" i="31"/>
  <c r="I27" i="29" s="1"/>
  <c r="Q24" i="32"/>
  <c r="R24" i="32" s="1"/>
  <c r="J26" i="29" s="1"/>
  <c r="AD27" i="31"/>
  <c r="I26" i="29" s="1"/>
  <c r="P35" i="32"/>
  <c r="P31" i="32"/>
  <c r="AA40" i="31"/>
  <c r="AA47" i="31" s="1"/>
  <c r="AC29" i="31"/>
  <c r="P36" i="32" l="1"/>
  <c r="AA41" i="31"/>
  <c r="AA48" i="31" s="1"/>
  <c r="P32" i="32"/>
  <c r="Q26" i="32"/>
  <c r="R26" i="32" s="1"/>
  <c r="J28" i="29" s="1"/>
  <c r="AD29" i="31"/>
  <c r="I28" i="29" s="1"/>
  <c r="P37" i="32"/>
  <c r="Q27" i="32"/>
  <c r="R27" i="32" s="1"/>
  <c r="J29" i="29" s="1"/>
  <c r="AC36" i="31"/>
  <c r="AC43" i="31" s="1"/>
  <c r="AC31" i="31"/>
  <c r="AD30" i="31"/>
  <c r="I29" i="29" s="1"/>
  <c r="P38" i="32" l="1"/>
  <c r="P39" i="32" s="1"/>
  <c r="P42" i="32" s="1"/>
  <c r="P44" i="32" s="1"/>
  <c r="AC32" i="31"/>
  <c r="AC33" i="31" s="1"/>
  <c r="Q28" i="32"/>
  <c r="R28" i="32" s="1"/>
  <c r="J30" i="29" s="1"/>
  <c r="AD31" i="31"/>
  <c r="I30" i="29" s="1"/>
  <c r="AC37" i="31"/>
  <c r="AC44" i="31" s="1"/>
  <c r="Q33" i="32"/>
  <c r="R33" i="32" s="1"/>
  <c r="J35" i="29" s="1"/>
  <c r="AD36" i="31"/>
  <c r="I35" i="29" s="1"/>
  <c r="AC34" i="31" l="1"/>
  <c r="AC35" i="31" s="1"/>
  <c r="Q30" i="32"/>
  <c r="R30" i="32" s="1"/>
  <c r="J32" i="29" s="1"/>
  <c r="AD33" i="31"/>
  <c r="I32" i="29" s="1"/>
  <c r="AC39" i="31"/>
  <c r="AC46" i="31" s="1"/>
  <c r="Q29" i="32"/>
  <c r="R29" i="32" s="1"/>
  <c r="J31" i="29" s="1"/>
  <c r="AC38" i="31"/>
  <c r="AD32" i="31"/>
  <c r="I31" i="29" s="1"/>
  <c r="Q34" i="32"/>
  <c r="R34" i="32" s="1"/>
  <c r="J36" i="29" s="1"/>
  <c r="AD37" i="31"/>
  <c r="I36" i="29" s="1"/>
  <c r="Q32" i="32" l="1"/>
  <c r="R32" i="32" s="1"/>
  <c r="J34" i="29" s="1"/>
  <c r="AD35" i="31"/>
  <c r="I34" i="29" s="1"/>
  <c r="AC41" i="31"/>
  <c r="AC48" i="31" s="1"/>
  <c r="Q31" i="32"/>
  <c r="R31" i="32" s="1"/>
  <c r="J33" i="29" s="1"/>
  <c r="AC40" i="31"/>
  <c r="AC47" i="31" s="1"/>
  <c r="AD34" i="31"/>
  <c r="I33" i="29" s="1"/>
  <c r="Q35" i="32"/>
  <c r="R35" i="32" s="1"/>
  <c r="J37" i="29" s="1"/>
  <c r="AD38" i="31"/>
  <c r="I37" i="29" s="1"/>
  <c r="Q36" i="32"/>
  <c r="R36" i="32" s="1"/>
  <c r="J38" i="29" s="1"/>
  <c r="AD39" i="31"/>
  <c r="I38" i="29" s="1"/>
  <c r="AC45" i="31"/>
  <c r="Q38" i="32" l="1"/>
  <c r="AD41" i="31"/>
  <c r="I40" i="29" s="1"/>
  <c r="Q37" i="32"/>
  <c r="R37" i="32" s="1"/>
  <c r="J39" i="29" s="1"/>
  <c r="AD40" i="31"/>
  <c r="I39" i="29" s="1"/>
  <c r="R38" i="32" l="1"/>
  <c r="J40" i="29" s="1"/>
  <c r="J42" i="29" s="1"/>
  <c r="J44" i="29" s="1"/>
  <c r="H50" i="29" s="1"/>
  <c r="Q39" i="32"/>
  <c r="H53" i="29" l="1"/>
  <c r="H56" i="29"/>
  <c r="Q42" i="32"/>
  <c r="R39" i="32"/>
  <c r="Q44" i="32" l="1"/>
  <c r="R44" i="32" s="1"/>
  <c r="R42" i="32"/>
</calcChain>
</file>

<file path=xl/sharedStrings.xml><?xml version="1.0" encoding="utf-8"?>
<sst xmlns="http://schemas.openxmlformats.org/spreadsheetml/2006/main" count="692" uniqueCount="164">
  <si>
    <t>Estimates</t>
  </si>
  <si>
    <t>Notes</t>
  </si>
  <si>
    <t>Reason for workbook</t>
  </si>
  <si>
    <t>Grade/Rate</t>
  </si>
  <si>
    <t>Hours</t>
  </si>
  <si>
    <t>Discounted charge</t>
  </si>
  <si>
    <t>Band 1</t>
  </si>
  <si>
    <t xml:space="preserve">Please complete the yellow boxes on this tab.  </t>
  </si>
  <si>
    <t>Meat control Hours</t>
  </si>
  <si>
    <t>The hours used should be those expected to be recorded to "I" codes</t>
  </si>
  <si>
    <t>Band 2</t>
  </si>
  <si>
    <t xml:space="preserve">Meat controls Allowances </t>
  </si>
  <si>
    <t xml:space="preserve">The number of posts eligible for the allowance, times the number of days of eligibility should be entered </t>
  </si>
  <si>
    <t>as the occurrences for each allowances</t>
  </si>
  <si>
    <t>Export VATable Hours</t>
  </si>
  <si>
    <t>The hours used should be those expected to be recorded to HLVI code</t>
  </si>
  <si>
    <t>Band 3</t>
  </si>
  <si>
    <t>Meat controls Hours</t>
  </si>
  <si>
    <t>I Hours per week</t>
  </si>
  <si>
    <t>Grade</t>
  </si>
  <si>
    <t>Time</t>
  </si>
  <si>
    <t>Full Cost Charge Rate</t>
  </si>
  <si>
    <t>GHE</t>
  </si>
  <si>
    <t>OV</t>
  </si>
  <si>
    <t>Single</t>
  </si>
  <si>
    <t>Time &amp; half</t>
  </si>
  <si>
    <t>Double</t>
  </si>
  <si>
    <t>Band 4</t>
  </si>
  <si>
    <t>Total OV hours</t>
  </si>
  <si>
    <t>MHI</t>
  </si>
  <si>
    <t>Total MHI hours</t>
  </si>
  <si>
    <t>Total I Hours All</t>
  </si>
  <si>
    <t>Band 5</t>
  </si>
  <si>
    <t>Meat controls Allowances</t>
  </si>
  <si>
    <t>Allowance</t>
  </si>
  <si>
    <t>Casualty slaughter</t>
  </si>
  <si>
    <t>CASL</t>
  </si>
  <si>
    <t>w/e working as normal week</t>
  </si>
  <si>
    <t>COVA</t>
  </si>
  <si>
    <t>HTIM</t>
  </si>
  <si>
    <t>Band 6</t>
  </si>
  <si>
    <t>Night shift</t>
  </si>
  <si>
    <t>NGHT</t>
  </si>
  <si>
    <t>Shift work</t>
  </si>
  <si>
    <t>SHFT</t>
  </si>
  <si>
    <t>Unsocial Hours</t>
  </si>
  <si>
    <t>UNSH</t>
  </si>
  <si>
    <t>UNSO</t>
  </si>
  <si>
    <t>UNSP</t>
  </si>
  <si>
    <t>Allowances</t>
  </si>
  <si>
    <t>Discounted Charge</t>
  </si>
  <si>
    <t>H hours per week</t>
  </si>
  <si>
    <t>Export VATable Charges</t>
  </si>
  <si>
    <t>Total Estimated Charges</t>
  </si>
  <si>
    <t>Total export VATable hours</t>
  </si>
  <si>
    <t>CAUTION</t>
  </si>
  <si>
    <t xml:space="preserve">- This workbook can only estimate charges based on the data entered, it does not guarantee charges at a </t>
  </si>
  <si>
    <t>Estimated annual FSA charge</t>
  </si>
  <si>
    <t>This information is only an estimate and is indicative of the likely charges for the given data</t>
  </si>
  <si>
    <t xml:space="preserve">specific level and therefore the output from this workbook should be used with caution.  </t>
  </si>
  <si>
    <t>- Changes in throughput and/or hours by grade rate will result in different charges.</t>
  </si>
  <si>
    <t>- Figures produced by this workbook should be used with caution as they do not guarantee actual charges.</t>
  </si>
  <si>
    <t>Estimated monthly FSA charge</t>
  </si>
  <si>
    <t>Monthly invoices will vary due to hours and whether it is a four or five week charge period</t>
  </si>
  <si>
    <t>- The estimated weekly figure is one fiftysecond of the annual estimated charge and the estimated monthly figure</t>
  </si>
  <si>
    <t xml:space="preserve"> is one twelfth of the estimated annual charge</t>
  </si>
  <si>
    <t>Estimated weekly FSA charge</t>
  </si>
  <si>
    <t>Regulated work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</si>
  <si>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</si>
  <si>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</si>
  <si>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</si>
  <si>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</si>
  <si>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</si>
  <si>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</si>
  <si>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</si>
  <si>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</si>
  <si>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</si>
  <si>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</si>
  <si>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</si>
  <si>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</si>
  <si>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Charge Rate</t>
  </si>
  <si>
    <t>SMI/MHI</t>
  </si>
  <si>
    <t>Total full cost</t>
  </si>
  <si>
    <t>Discount</t>
  </si>
  <si>
    <t>Charge</t>
  </si>
  <si>
    <t>OV and MHI Time ONLY</t>
  </si>
  <si>
    <t>Month/Period</t>
  </si>
  <si>
    <t>Band</t>
  </si>
  <si>
    <t>discount applied</t>
  </si>
  <si>
    <t>Apr
1</t>
  </si>
  <si>
    <t>May
2</t>
  </si>
  <si>
    <t>Jun
3</t>
  </si>
  <si>
    <t>Jul
4</t>
  </si>
  <si>
    <t>Aug
5</t>
  </si>
  <si>
    <t>Sep
6</t>
  </si>
  <si>
    <t>Oct
7</t>
  </si>
  <si>
    <t>Nov
8</t>
  </si>
  <si>
    <t>Dec
9</t>
  </si>
  <si>
    <t>Jan
10</t>
  </si>
  <si>
    <t>Feb
11</t>
  </si>
  <si>
    <t>Mar
12</t>
  </si>
  <si>
    <t xml:space="preserve">Total </t>
  </si>
  <si>
    <t>Cost</t>
  </si>
  <si>
    <t>Band Hours</t>
  </si>
  <si>
    <t>Worked hours</t>
  </si>
  <si>
    <t xml:space="preserve"> </t>
  </si>
  <si>
    <t>OV Single</t>
  </si>
  <si>
    <t>OV 1.5</t>
  </si>
  <si>
    <t>OV Dbl</t>
  </si>
  <si>
    <t>SMI Single</t>
  </si>
  <si>
    <t>SMI 1.5</t>
  </si>
  <si>
    <t>SMI Dbl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</si>
  <si>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</si>
  <si>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</si>
  <si>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</si>
  <si>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</si>
  <si>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</si>
  <si>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</si>
  <si>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</si>
  <si>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</si>
  <si>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</si>
  <si>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</si>
  <si>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</si>
  <si>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</si>
  <si>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Full Cost</t>
  </si>
  <si>
    <t>Meat Controls Hours</t>
  </si>
  <si>
    <t>PSL</t>
  </si>
  <si>
    <t>Meat Controls Allowances</t>
  </si>
  <si>
    <t>Total non-Meat Controls hours</t>
  </si>
  <si>
    <t>PIA CALC</t>
  </si>
  <si>
    <t>discount applied to hours</t>
  </si>
  <si>
    <t xml:space="preserve">OV, MHI &amp; PIA, with All PIA Charged </t>
  </si>
  <si>
    <t>Amount charged</t>
  </si>
  <si>
    <t>Full cost</t>
  </si>
  <si>
    <t xml:space="preserve">Meat Controls Allowances </t>
  </si>
  <si>
    <t>RSL</t>
  </si>
  <si>
    <t>No of occurrences per week</t>
  </si>
  <si>
    <t>Emergency call-out (no SOR)</t>
  </si>
  <si>
    <t>EMGH</t>
  </si>
  <si>
    <t>Emergency call-out (in SOR)</t>
  </si>
  <si>
    <t>EMGL</t>
  </si>
  <si>
    <t>Annual Maximum Hours</t>
  </si>
  <si>
    <t>Annual Hours in band</t>
  </si>
  <si>
    <t>Allowance Rates</t>
  </si>
  <si>
    <t>Weeks in charge period</t>
  </si>
  <si>
    <t>Amount (£)</t>
  </si>
  <si>
    <t>Period</t>
  </si>
  <si>
    <t>Weeks</t>
  </si>
  <si>
    <t>Hourly Rates Official Controls</t>
  </si>
  <si>
    <t>Rates</t>
  </si>
  <si>
    <t>OV single</t>
  </si>
  <si>
    <t>OV time and half</t>
  </si>
  <si>
    <t>OV double</t>
  </si>
  <si>
    <t>MHI single</t>
  </si>
  <si>
    <t>MHI time and half</t>
  </si>
  <si>
    <t>MHI double</t>
  </si>
  <si>
    <t>TUPE PIA</t>
  </si>
  <si>
    <t>Hourly Rates HLVI</t>
  </si>
  <si>
    <t>NWUH</t>
  </si>
  <si>
    <t>Night Working Unsocial Hrs</t>
  </si>
  <si>
    <t>2025/26 Estimate Calculator</t>
  </si>
  <si>
    <t>This workbook has been built to provide an indicative estimate of the charges for 2025/26 based on weekly data</t>
  </si>
  <si>
    <t>This workbook is only valid for estimates for 2025/26, all other years' charges will have different hours bands and discounts</t>
  </si>
  <si>
    <t>- This workbook should not be used to predict future years charges, it is 2025/26 specific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</si>
</sst>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0.000"/>
    <numFmt numFmtId="166" formatCode="&quot;£&quot;#,##0.0000"/>
    <numFmt numFmtId="167" formatCode="_-* #,##0.00_-;\(#,##0.00\);_-* &quot;-&quot;??_-;_-@_-"/>
    <numFmt numFmtId="168" formatCode="_(&quot;£&quot;* #,##0.00_);_(&quot;£&quot;* \(#,##0.00\);_(&quot;£&quot;* &quot;-&quot;??_);_(@_)"/>
    <numFmt numFmtId="169" formatCode="_(* #,##0.00_);_(* \(#,##0.00\);_(* &quot;-&quot;??_);_(@_)"/>
    <numFmt numFmtId="170" formatCode="_-* #,##0_-;\-* #,##0_-;_-* &quot;-&quot;??_-;_-@_-"/>
  </numFmts>
  <fonts count="42" x14ac:knownFonts="1"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rgb="FFFF0000"/>
      <name val="Arial"/>
      <family val="2"/>
    </font>
    <font>
      <sz val="18"/>
      <color rgb="FFFF000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F3F76"/>
      <name val="Times New Roman"/>
      <family val="2"/>
    </font>
    <font>
      <u/>
      <sz val="10"/>
      <color theme="10"/>
      <name val="Times New Roman"/>
      <family val="2"/>
    </font>
    <font>
      <b/>
      <sz val="12"/>
      <color rgb="FFFFFFFF"/>
      <name val="Calibri"/>
      <family val="2"/>
    </font>
    <font>
      <b/>
      <sz val="10"/>
      <color rgb="FFFFFFFF"/>
      <name val="Calibri"/>
      <family val="2"/>
    </font>
    <font>
      <sz val="8"/>
      <color rgb="FF002138"/>
      <name val="Calibri"/>
      <family val="2"/>
    </font>
    <font>
      <i/>
      <sz val="10"/>
      <color rgb="FF00AEEF"/>
      <name val="Calibri"/>
      <family val="2"/>
      <scheme val="minor"/>
    </font>
    <font>
      <sz val="10"/>
      <color rgb="FF002138"/>
      <name val="Calibri"/>
      <family val="2"/>
    </font>
    <font>
      <sz val="10"/>
      <color rgb="FF002060"/>
      <name val="Calibri"/>
      <family val="2"/>
      <scheme val="minor"/>
    </font>
    <font>
      <b/>
      <sz val="10"/>
      <color rgb="FF00213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63666A"/>
      <name val="Calibri"/>
      <family val="2"/>
      <scheme val="minor"/>
    </font>
    <font>
      <sz val="9"/>
      <color rgb="FF002138"/>
      <name val="Calibri"/>
      <family val="2"/>
    </font>
    <font>
      <u/>
      <sz val="12"/>
      <color theme="10"/>
      <name val="Calibri"/>
      <family val="2"/>
      <scheme val="minor"/>
    </font>
    <font>
      <sz val="10"/>
      <color theme="0"/>
      <name val="Arial"/>
      <family val="2"/>
    </font>
    <font>
      <b/>
      <u/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b/>
      <sz val="10"/>
      <color indexed="56"/>
      <name val="Wingdings"/>
      <charset val="2"/>
    </font>
    <font>
      <sz val="8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D2"/>
        <bgColor indexed="64"/>
      </patternFill>
    </fill>
    <fill>
      <patternFill patternType="solid">
        <fgColor rgb="FFFFCC99"/>
      </patternFill>
    </fill>
    <fill>
      <patternFill patternType="mediumGray">
        <bgColor rgb="FFBFBFBF"/>
      </patternFill>
    </fill>
    <fill>
      <patternFill patternType="solid">
        <fgColor rgb="FFE2EDD7"/>
        <bgColor indexed="64"/>
      </patternFill>
    </fill>
    <fill>
      <patternFill patternType="solid">
        <fgColor rgb="FFECF0F4"/>
        <bgColor indexed="64"/>
      </patternFill>
    </fill>
    <fill>
      <patternFill patternType="solid">
        <fgColor rgb="FFAFDBFF"/>
        <bgColor indexed="64"/>
      </patternFill>
    </fill>
    <fill>
      <patternFill patternType="solid">
        <fgColor rgb="FFE7F7FE"/>
        <bgColor indexed="64"/>
      </patternFill>
    </fill>
    <fill>
      <patternFill patternType="solid">
        <fgColor rgb="FFC7EEC0"/>
        <bgColor indexed="64"/>
      </patternFill>
    </fill>
    <fill>
      <patternFill patternType="solid">
        <fgColor rgb="FF009CDE"/>
        <bgColor indexed="64"/>
      </patternFill>
    </fill>
    <fill>
      <patternFill patternType="solid">
        <fgColor rgb="FFE7E7E8"/>
        <bgColor indexed="64"/>
      </patternFill>
    </fill>
    <fill>
      <patternFill patternType="solid">
        <fgColor rgb="FFB7B9BA"/>
        <bgColor indexed="64"/>
      </patternFill>
    </fill>
    <fill>
      <patternFill patternType="solid">
        <fgColor rgb="FF66C3EB"/>
        <bgColor indexed="64"/>
      </patternFill>
    </fill>
    <fill>
      <patternFill patternType="solid">
        <fgColor rgb="FF8BC385"/>
        <bgColor indexed="64"/>
      </patternFill>
    </fill>
    <fill>
      <patternFill patternType="solid">
        <fgColor rgb="FFCCEBF8"/>
        <bgColor indexed="64"/>
      </patternFill>
    </fill>
    <fill>
      <patternFill patternType="solid">
        <fgColor rgb="FFF4FB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rgb="FF5BD2FF"/>
      </left>
      <right style="hair">
        <color rgb="FF5BD2FF"/>
      </right>
      <top style="hair">
        <color rgb="FF5BD2FF"/>
      </top>
      <bottom style="hair">
        <color rgb="FF5BD2FF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rgb="FF33B9F2"/>
      </left>
      <right style="hair">
        <color rgb="FF33B9F2"/>
      </right>
      <top style="hair">
        <color rgb="FF33B9F2"/>
      </top>
      <bottom style="hair">
        <color rgb="FF33B9F2"/>
      </bottom>
      <diagonal/>
    </border>
    <border>
      <left style="hair">
        <color rgb="FF0082B3"/>
      </left>
      <right style="hair">
        <color rgb="FF0082B3"/>
      </right>
      <top style="hair">
        <color rgb="FF0082B3"/>
      </top>
      <bottom style="hair">
        <color rgb="FF0082B3"/>
      </bottom>
      <diagonal/>
    </border>
    <border>
      <left style="hair">
        <color rgb="FF0082B3"/>
      </left>
      <right style="hair">
        <color rgb="FF0082B3"/>
      </right>
      <top style="thin">
        <color rgb="FF0082B3"/>
      </top>
      <bottom style="hair">
        <color rgb="FF0082B3"/>
      </bottom>
      <diagonal/>
    </border>
    <border>
      <left style="hair">
        <color rgb="FF498105"/>
      </left>
      <right style="hair">
        <color rgb="FF498105"/>
      </right>
      <top style="hair">
        <color rgb="FF498105"/>
      </top>
      <bottom style="hair">
        <color rgb="FF498105"/>
      </bottom>
      <diagonal/>
    </border>
    <border>
      <left style="thin">
        <color rgb="FF009CDE"/>
      </left>
      <right/>
      <top style="thin">
        <color rgb="FF009CDE"/>
      </top>
      <bottom style="thin">
        <color rgb="FF009CDE"/>
      </bottom>
      <diagonal/>
    </border>
    <border>
      <left style="thin">
        <color rgb="FFE7E7E8"/>
      </left>
      <right/>
      <top style="thin">
        <color rgb="FFE7E7E8"/>
      </top>
      <bottom style="thin">
        <color rgb="FFE7E7E8"/>
      </bottom>
      <diagonal/>
    </border>
    <border>
      <left style="thin">
        <color rgb="FFB7B9BA"/>
      </left>
      <right/>
      <top style="thin">
        <color rgb="FFB7B9BA"/>
      </top>
      <bottom style="thin">
        <color rgb="FFB7B9BA"/>
      </bottom>
      <diagonal/>
    </border>
    <border>
      <left style="thin">
        <color rgb="FF66C3EB"/>
      </left>
      <right/>
      <top style="thin">
        <color rgb="FF66C3EB"/>
      </top>
      <bottom style="thin">
        <color rgb="FF66C3EB"/>
      </bottom>
      <diagonal/>
    </border>
    <border>
      <left style="thin">
        <color rgb="FF8BC385"/>
      </left>
      <right/>
      <top style="thin">
        <color rgb="FF8BC385"/>
      </top>
      <bottom/>
      <diagonal/>
    </border>
    <border>
      <left style="thin">
        <color rgb="FFCCEBF8"/>
      </left>
      <right/>
      <top style="thin">
        <color rgb="FFCCEBF8"/>
      </top>
      <bottom style="thin">
        <color rgb="FFCCEBF8"/>
      </bottom>
      <diagonal/>
    </border>
    <border>
      <left style="hair">
        <color rgb="FF366092"/>
      </left>
      <right style="hair">
        <color rgb="FF366092"/>
      </right>
      <top style="hair">
        <color rgb="FF366092"/>
      </top>
      <bottom style="hair">
        <color rgb="FF366092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32">
    <xf numFmtId="0" fontId="0" fillId="0" borderId="0"/>
    <xf numFmtId="43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167" fontId="15" fillId="14" borderId="14" applyNumberFormat="0" applyAlignment="0" applyProtection="0"/>
    <xf numFmtId="0" fontId="16" fillId="0" borderId="0">
      <alignment vertical="top"/>
    </xf>
    <xf numFmtId="0" fontId="17" fillId="0" borderId="0"/>
    <xf numFmtId="169" fontId="25" fillId="0" borderId="0" applyNumberFormat="0" applyAlignment="0" applyProtection="0"/>
    <xf numFmtId="168" fontId="25" fillId="0" borderId="0" applyNumberFormat="0" applyAlignment="0" applyProtection="0"/>
    <xf numFmtId="9" fontId="25" fillId="0" borderId="0" applyNumberFormat="0" applyAlignment="0" applyProtection="0"/>
    <xf numFmtId="0" fontId="21" fillId="22" borderId="21" applyNumberFormat="0" applyAlignment="0" applyProtection="0"/>
    <xf numFmtId="0" fontId="22" fillId="25" borderId="24" applyNumberFormat="0" applyAlignment="0" applyProtection="0"/>
    <xf numFmtId="0" fontId="22" fillId="24" borderId="23" applyNumberFormat="0" applyAlignment="0" applyProtection="0"/>
    <xf numFmtId="0" fontId="22" fillId="26" borderId="25" applyNumberFormat="0" applyAlignment="0" applyProtection="0"/>
    <xf numFmtId="0" fontId="28" fillId="17" borderId="17" applyNumberFormat="0" applyAlignment="0" applyProtection="0"/>
    <xf numFmtId="0" fontId="25" fillId="19" borderId="0" applyNumberFormat="0" applyAlignment="0" applyProtection="0"/>
    <xf numFmtId="0" fontId="25" fillId="18" borderId="18" applyNumberFormat="0" applyAlignment="0" applyProtection="0"/>
    <xf numFmtId="0" fontId="25" fillId="18" borderId="19" applyNumberFormat="0" applyAlignment="0" applyProtection="0"/>
    <xf numFmtId="0" fontId="23" fillId="0" borderId="0" applyNumberFormat="0" applyAlignment="0" applyProtection="0"/>
    <xf numFmtId="0" fontId="24" fillId="0" borderId="0" applyNumberFormat="0" applyAlignment="0" applyProtection="0"/>
    <xf numFmtId="0" fontId="29" fillId="27" borderId="26" applyNumberFormat="0" applyAlignment="0" applyProtection="0"/>
    <xf numFmtId="0" fontId="15" fillId="16" borderId="14" applyNumberFormat="0" applyAlignment="0" applyProtection="0"/>
    <xf numFmtId="0" fontId="27" fillId="23" borderId="22" applyNumberFormat="0" applyAlignment="0" applyProtection="0"/>
    <xf numFmtId="0" fontId="26" fillId="20" borderId="14" applyNumberFormat="0" applyAlignment="0" applyProtection="0"/>
    <xf numFmtId="0" fontId="28" fillId="21" borderId="20" applyNumberFormat="0" applyAlignment="0" applyProtection="0"/>
    <xf numFmtId="0" fontId="30" fillId="28" borderId="27" applyNumberFormat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19" fillId="15" borderId="16" applyNumberFormat="0" applyAlignment="0" applyProtection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0" fontId="36" fillId="0" borderId="0" applyFill="0" applyBorder="0">
      <alignment horizontal="center" vertical="center"/>
    </xf>
    <xf numFmtId="0" fontId="16" fillId="0" borderId="0">
      <alignment vertical="top"/>
    </xf>
    <xf numFmtId="0" fontId="16" fillId="0" borderId="0">
      <alignment vertical="top"/>
    </xf>
    <xf numFmtId="0" fontId="13" fillId="0" borderId="0"/>
    <xf numFmtId="0" fontId="18" fillId="0" borderId="0"/>
    <xf numFmtId="0" fontId="16" fillId="0" borderId="0">
      <alignment vertical="top"/>
    </xf>
    <xf numFmtId="0" fontId="16" fillId="0" borderId="0">
      <alignment vertical="top"/>
    </xf>
  </cellStyleXfs>
  <cellXfs count="221">
    <xf numFmtId="0" fontId="0" fillId="0" borderId="0" xfId="0"/>
    <xf numFmtId="17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0" fontId="10" fillId="0" borderId="0" xfId="0" applyFont="1"/>
    <xf numFmtId="2" fontId="0" fillId="0" borderId="0" xfId="0" applyNumberFormat="1"/>
    <xf numFmtId="9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4" fontId="0" fillId="0" borderId="0" xfId="0" applyNumberFormat="1"/>
    <xf numFmtId="44" fontId="0" fillId="0" borderId="1" xfId="0" applyNumberFormat="1" applyBorder="1"/>
    <xf numFmtId="44" fontId="0" fillId="0" borderId="10" xfId="0" applyNumberFormat="1" applyBorder="1"/>
    <xf numFmtId="164" fontId="0" fillId="0" borderId="0" xfId="0" applyNumberFormat="1"/>
    <xf numFmtId="0" fontId="0" fillId="0" borderId="0" xfId="0" applyAlignment="1">
      <alignment horizontal="center"/>
    </xf>
    <xf numFmtId="2" fontId="13" fillId="6" borderId="1" xfId="0" applyNumberFormat="1" applyFont="1" applyFill="1" applyBorder="1" applyAlignment="1">
      <alignment horizontal="center" vertical="center" wrapText="1"/>
    </xf>
    <xf numFmtId="2" fontId="13" fillId="7" borderId="1" xfId="0" applyNumberFormat="1" applyFont="1" applyFill="1" applyBorder="1" applyAlignment="1">
      <alignment horizontal="center" vertical="center" wrapText="1"/>
    </xf>
    <xf numFmtId="2" fontId="13" fillId="8" borderId="1" xfId="0" applyNumberFormat="1" applyFont="1" applyFill="1" applyBorder="1" applyAlignment="1">
      <alignment horizontal="center" vertical="center" wrapText="1"/>
    </xf>
    <xf numFmtId="43" fontId="0" fillId="0" borderId="0" xfId="1" applyFont="1"/>
    <xf numFmtId="43" fontId="5" fillId="0" borderId="1" xfId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44" fontId="3" fillId="0" borderId="1" xfId="0" applyNumberFormat="1" applyFont="1" applyBorder="1"/>
    <xf numFmtId="166" fontId="9" fillId="2" borderId="1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166" fontId="5" fillId="0" borderId="1" xfId="0" applyNumberFormat="1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15" fillId="14" borderId="14" xfId="4" applyNumberFormat="1"/>
    <xf numFmtId="44" fontId="3" fillId="0" borderId="0" xfId="0" applyNumberFormat="1" applyFont="1"/>
    <xf numFmtId="10" fontId="0" fillId="0" borderId="0" xfId="0" applyNumberFormat="1"/>
    <xf numFmtId="10" fontId="0" fillId="0" borderId="0" xfId="3" applyNumberFormat="1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2" fillId="0" borderId="0" xfId="0" applyFont="1"/>
    <xf numFmtId="0" fontId="7" fillId="29" borderId="0" xfId="0" applyFont="1" applyFill="1"/>
    <xf numFmtId="0" fontId="7" fillId="30" borderId="0" xfId="0" applyFont="1" applyFill="1"/>
    <xf numFmtId="0" fontId="4" fillId="0" borderId="0" xfId="0" applyFont="1"/>
    <xf numFmtId="0" fontId="7" fillId="31" borderId="0" xfId="0" applyFont="1" applyFill="1"/>
    <xf numFmtId="0" fontId="7" fillId="32" borderId="0" xfId="0" applyFont="1" applyFill="1"/>
    <xf numFmtId="0" fontId="4" fillId="0" borderId="28" xfId="0" applyFont="1" applyBorder="1"/>
    <xf numFmtId="0" fontId="8" fillId="0" borderId="0" xfId="0" applyFont="1" applyAlignment="1">
      <alignment horizontal="center"/>
    </xf>
    <xf numFmtId="0" fontId="7" fillId="10" borderId="0" xfId="0" applyFont="1" applyFill="1"/>
    <xf numFmtId="0" fontId="7" fillId="13" borderId="0" xfId="0" applyFont="1" applyFill="1"/>
    <xf numFmtId="0" fontId="4" fillId="0" borderId="9" xfId="0" applyFont="1" applyBorder="1"/>
    <xf numFmtId="0" fontId="0" fillId="13" borderId="0" xfId="0" applyFill="1"/>
    <xf numFmtId="0" fontId="7" fillId="33" borderId="0" xfId="0" applyFont="1" applyFill="1"/>
    <xf numFmtId="44" fontId="7" fillId="0" borderId="0" xfId="0" applyNumberFormat="1" applyFont="1"/>
    <xf numFmtId="164" fontId="7" fillId="0" borderId="0" xfId="0" applyNumberFormat="1" applyFont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0" xfId="0" quotePrefix="1"/>
    <xf numFmtId="0" fontId="0" fillId="0" borderId="33" xfId="0" applyBorder="1"/>
    <xf numFmtId="0" fontId="0" fillId="0" borderId="35" xfId="0" applyBorder="1"/>
    <xf numFmtId="0" fontId="0" fillId="0" borderId="36" xfId="0" applyBorder="1"/>
    <xf numFmtId="0" fontId="0" fillId="34" borderId="36" xfId="0" applyFill="1" applyBorder="1" applyAlignment="1">
      <alignment wrapText="1"/>
    </xf>
    <xf numFmtId="0" fontId="0" fillId="34" borderId="37" xfId="0" applyFill="1" applyBorder="1" applyAlignment="1">
      <alignment wrapText="1"/>
    </xf>
    <xf numFmtId="0" fontId="4" fillId="0" borderId="1" xfId="0" applyFont="1" applyBorder="1"/>
    <xf numFmtId="0" fontId="9" fillId="0" borderId="0" xfId="0" applyFont="1"/>
    <xf numFmtId="0" fontId="9" fillId="0" borderId="1" xfId="0" applyFont="1" applyBorder="1"/>
    <xf numFmtId="9" fontId="9" fillId="0" borderId="1" xfId="0" applyNumberFormat="1" applyFont="1" applyBorder="1"/>
    <xf numFmtId="164" fontId="9" fillId="35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37" fillId="35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/>
    <xf numFmtId="0" fontId="4" fillId="0" borderId="39" xfId="0" applyFont="1" applyBorder="1"/>
    <xf numFmtId="0" fontId="8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70" fontId="4" fillId="0" borderId="0" xfId="1" applyNumberFormat="1" applyFont="1" applyFill="1" applyBorder="1"/>
    <xf numFmtId="0" fontId="0" fillId="0" borderId="37" xfId="0" applyBorder="1"/>
    <xf numFmtId="166" fontId="3" fillId="0" borderId="1" xfId="0" applyNumberFormat="1" applyFont="1" applyBorder="1"/>
    <xf numFmtId="44" fontId="38" fillId="0" borderId="10" xfId="0" applyNumberFormat="1" applyFont="1" applyBorder="1"/>
    <xf numFmtId="43" fontId="32" fillId="11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center"/>
    </xf>
    <xf numFmtId="164" fontId="0" fillId="0" borderId="33" xfId="0" applyNumberFormat="1" applyBorder="1"/>
    <xf numFmtId="0" fontId="0" fillId="0" borderId="34" xfId="0" applyBorder="1"/>
    <xf numFmtId="0" fontId="0" fillId="34" borderId="0" xfId="0" applyFill="1" applyAlignment="1">
      <alignment vertical="center" wrapText="1"/>
    </xf>
    <xf numFmtId="0" fontId="0" fillId="34" borderId="34" xfId="0" applyFill="1" applyBorder="1" applyAlignment="1">
      <alignment vertical="center" wrapText="1"/>
    </xf>
    <xf numFmtId="0" fontId="5" fillId="0" borderId="1" xfId="0" applyFont="1" applyBorder="1"/>
    <xf numFmtId="0" fontId="39" fillId="0" borderId="1" xfId="0" applyFont="1" applyBorder="1"/>
    <xf numFmtId="9" fontId="7" fillId="29" borderId="0" xfId="0" applyNumberFormat="1" applyFont="1" applyFill="1" applyAlignment="1">
      <alignment horizontal="left"/>
    </xf>
    <xf numFmtId="9" fontId="7" fillId="30" borderId="0" xfId="0" applyNumberFormat="1" applyFont="1" applyFill="1" applyAlignment="1">
      <alignment horizontal="left"/>
    </xf>
    <xf numFmtId="9" fontId="7" fillId="31" borderId="0" xfId="0" applyNumberFormat="1" applyFont="1" applyFill="1" applyAlignment="1">
      <alignment horizontal="left"/>
    </xf>
    <xf numFmtId="0" fontId="7" fillId="32" borderId="0" xfId="0" applyFont="1" applyFill="1" applyAlignment="1">
      <alignment horizontal="left"/>
    </xf>
    <xf numFmtId="9" fontId="7" fillId="32" borderId="0" xfId="0" applyNumberFormat="1" applyFont="1" applyFill="1" applyAlignment="1">
      <alignment horizontal="left"/>
    </xf>
    <xf numFmtId="0" fontId="7" fillId="10" borderId="0" xfId="0" applyFont="1" applyFill="1" applyAlignment="1">
      <alignment horizontal="left"/>
    </xf>
    <xf numFmtId="9" fontId="7" fillId="10" borderId="0" xfId="0" applyNumberFormat="1" applyFont="1" applyFill="1" applyAlignment="1">
      <alignment horizontal="left"/>
    </xf>
    <xf numFmtId="0" fontId="7" fillId="13" borderId="0" xfId="0" applyFont="1" applyFill="1" applyAlignment="1">
      <alignment horizontal="left"/>
    </xf>
    <xf numFmtId="9" fontId="7" fillId="13" borderId="0" xfId="0" applyNumberFormat="1" applyFont="1" applyFill="1" applyAlignment="1">
      <alignment horizontal="left"/>
    </xf>
    <xf numFmtId="0" fontId="7" fillId="29" borderId="0" xfId="0" applyFont="1" applyFill="1" applyAlignment="1">
      <alignment horizontal="left"/>
    </xf>
    <xf numFmtId="0" fontId="7" fillId="30" borderId="0" xfId="0" applyFont="1" applyFill="1" applyAlignment="1">
      <alignment horizontal="left"/>
    </xf>
    <xf numFmtId="0" fontId="7" fillId="31" borderId="0" xfId="0" applyFont="1" applyFill="1" applyAlignment="1">
      <alignment horizontal="left"/>
    </xf>
    <xf numFmtId="0" fontId="0" fillId="13" borderId="0" xfId="0" applyFill="1" applyAlignment="1">
      <alignment horizontal="left"/>
    </xf>
    <xf numFmtId="9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44" fontId="8" fillId="0" borderId="0" xfId="0" applyNumberFormat="1" applyFont="1"/>
    <xf numFmtId="0" fontId="1" fillId="0" borderId="0" xfId="0" applyFont="1"/>
    <xf numFmtId="2" fontId="4" fillId="0" borderId="3" xfId="0" applyNumberFormat="1" applyFont="1" applyBorder="1"/>
    <xf numFmtId="0" fontId="1" fillId="12" borderId="0" xfId="0" applyFont="1" applyFill="1"/>
    <xf numFmtId="43" fontId="1" fillId="0" borderId="0" xfId="1" applyFont="1"/>
    <xf numFmtId="44" fontId="1" fillId="0" borderId="0" xfId="0" applyNumberFormat="1" applyFont="1"/>
    <xf numFmtId="164" fontId="1" fillId="0" borderId="0" xfId="0" applyNumberFormat="1" applyFont="1"/>
    <xf numFmtId="0" fontId="1" fillId="9" borderId="7" xfId="0" applyFont="1" applyFill="1" applyBorder="1" applyProtection="1">
      <protection locked="0"/>
    </xf>
    <xf numFmtId="0" fontId="1" fillId="9" borderId="13" xfId="0" applyFont="1" applyFill="1" applyBorder="1" applyProtection="1">
      <protection locked="0"/>
    </xf>
    <xf numFmtId="0" fontId="1" fillId="9" borderId="3" xfId="0" applyFont="1" applyFill="1" applyBorder="1" applyProtection="1">
      <protection locked="0"/>
    </xf>
    <xf numFmtId="0" fontId="1" fillId="0" borderId="29" xfId="0" applyFont="1" applyBorder="1"/>
    <xf numFmtId="0" fontId="1" fillId="0" borderId="10" xfId="0" applyFont="1" applyBorder="1"/>
    <xf numFmtId="165" fontId="1" fillId="0" borderId="0" xfId="0" applyNumberFormat="1" applyFont="1"/>
    <xf numFmtId="170" fontId="1" fillId="0" borderId="0" xfId="1" applyNumberFormat="1" applyFont="1" applyFill="1" applyBorder="1" applyProtection="1">
      <protection locked="0"/>
    </xf>
    <xf numFmtId="0" fontId="1" fillId="3" borderId="5" xfId="0" applyFont="1" applyFill="1" applyBorder="1"/>
    <xf numFmtId="0" fontId="1" fillId="4" borderId="5" xfId="0" applyFont="1" applyFill="1" applyBorder="1"/>
    <xf numFmtId="0" fontId="1" fillId="5" borderId="5" xfId="0" applyFont="1" applyFill="1" applyBorder="1"/>
    <xf numFmtId="0" fontId="1" fillId="6" borderId="5" xfId="0" applyFont="1" applyFill="1" applyBorder="1"/>
    <xf numFmtId="0" fontId="1" fillId="7" borderId="5" xfId="0" applyFont="1" applyFill="1" applyBorder="1"/>
    <xf numFmtId="0" fontId="1" fillId="8" borderId="5" xfId="0" applyFont="1" applyFill="1" applyBorder="1"/>
    <xf numFmtId="166" fontId="1" fillId="0" borderId="0" xfId="0" applyNumberFormat="1" applyFont="1"/>
    <xf numFmtId="0" fontId="1" fillId="0" borderId="5" xfId="0" applyFont="1" applyBorder="1"/>
    <xf numFmtId="0" fontId="1" fillId="0" borderId="9" xfId="0" applyFont="1" applyBorder="1"/>
    <xf numFmtId="0" fontId="1" fillId="0" borderId="11" xfId="0" applyFont="1" applyBorder="1"/>
    <xf numFmtId="2" fontId="1" fillId="0" borderId="9" xfId="0" applyNumberFormat="1" applyFont="1" applyBorder="1"/>
    <xf numFmtId="10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2" fontId="1" fillId="11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2" fontId="1" fillId="4" borderId="1" xfId="0" applyNumberFormat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2" fontId="1" fillId="7" borderId="1" xfId="0" applyNumberFormat="1" applyFont="1" applyFill="1" applyBorder="1" applyAlignment="1">
      <alignment horizontal="center" vertical="center" wrapText="1"/>
    </xf>
    <xf numFmtId="2" fontId="1" fillId="8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2" fontId="1" fillId="7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2" fontId="1" fillId="3" borderId="0" xfId="0" applyNumberFormat="1" applyFont="1" applyFill="1"/>
    <xf numFmtId="2" fontId="1" fillId="4" borderId="0" xfId="0" applyNumberFormat="1" applyFont="1" applyFill="1"/>
    <xf numFmtId="2" fontId="1" fillId="5" borderId="0" xfId="0" applyNumberFormat="1" applyFont="1" applyFill="1"/>
    <xf numFmtId="2" fontId="1" fillId="6" borderId="0" xfId="0" applyNumberFormat="1" applyFont="1" applyFill="1"/>
    <xf numFmtId="2" fontId="1" fillId="7" borderId="0" xfId="0" applyNumberFormat="1" applyFont="1" applyFill="1"/>
    <xf numFmtId="2" fontId="1" fillId="8" borderId="0" xfId="0" applyNumberFormat="1" applyFont="1" applyFill="1"/>
    <xf numFmtId="9" fontId="1" fillId="0" borderId="1" xfId="0" applyNumberFormat="1" applyFont="1" applyBorder="1" applyAlignment="1">
      <alignment horizontal="center" vertical="center" wrapText="1"/>
    </xf>
    <xf numFmtId="0" fontId="1" fillId="3" borderId="12" xfId="0" applyFont="1" applyFill="1" applyBorder="1"/>
    <xf numFmtId="0" fontId="1" fillId="3" borderId="7" xfId="0" applyFont="1" applyFill="1" applyBorder="1"/>
    <xf numFmtId="0" fontId="1" fillId="4" borderId="13" xfId="0" applyFont="1" applyFill="1" applyBorder="1"/>
    <xf numFmtId="0" fontId="1" fillId="5" borderId="13" xfId="0" applyFont="1" applyFill="1" applyBorder="1"/>
    <xf numFmtId="0" fontId="1" fillId="6" borderId="13" xfId="0" applyFont="1" applyFill="1" applyBorder="1"/>
    <xf numFmtId="0" fontId="1" fillId="7" borderId="13" xfId="0" applyFont="1" applyFill="1" applyBorder="1"/>
    <xf numFmtId="0" fontId="1" fillId="8" borderId="13" xfId="0" applyFont="1" applyFill="1" applyBorder="1"/>
    <xf numFmtId="0" fontId="1" fillId="0" borderId="15" xfId="0" applyFont="1" applyBorder="1"/>
    <xf numFmtId="43" fontId="1" fillId="0" borderId="5" xfId="1" applyFont="1" applyFill="1" applyBorder="1"/>
    <xf numFmtId="0" fontId="1" fillId="0" borderId="39" xfId="0" applyFont="1" applyBorder="1"/>
    <xf numFmtId="9" fontId="1" fillId="9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1" xfId="1" applyFont="1" applyFill="1" applyBorder="1"/>
    <xf numFmtId="1" fontId="1" fillId="0" borderId="1" xfId="0" applyNumberFormat="1" applyFont="1" applyBorder="1" applyAlignment="1">
      <alignment vertical="center" wrapText="1"/>
    </xf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43" fontId="1" fillId="0" borderId="0" xfId="1" applyFont="1" applyFill="1"/>
    <xf numFmtId="0" fontId="1" fillId="8" borderId="0" xfId="0" applyFont="1" applyFill="1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 vertical="center" wrapText="1"/>
    </xf>
    <xf numFmtId="0" fontId="1" fillId="0" borderId="38" xfId="0" applyFont="1" applyBorder="1"/>
    <xf numFmtId="2" fontId="1" fillId="9" borderId="7" xfId="0" applyNumberFormat="1" applyFont="1" applyFill="1" applyBorder="1" applyProtection="1">
      <protection locked="0"/>
    </xf>
    <xf numFmtId="2" fontId="1" fillId="9" borderId="13" xfId="0" applyNumberFormat="1" applyFont="1" applyFill="1" applyBorder="1" applyProtection="1">
      <protection locked="0"/>
    </xf>
    <xf numFmtId="2" fontId="1" fillId="9" borderId="3" xfId="0" applyNumberFormat="1" applyFont="1" applyFill="1" applyBorder="1" applyProtection="1">
      <protection locked="0"/>
    </xf>
    <xf numFmtId="170" fontId="1" fillId="0" borderId="0" xfId="1" applyNumberFormat="1" applyFont="1" applyFill="1" applyBorder="1"/>
    <xf numFmtId="0" fontId="1" fillId="0" borderId="1" xfId="0" applyFont="1" applyBorder="1"/>
    <xf numFmtId="0" fontId="1" fillId="35" borderId="1" xfId="0" applyFont="1" applyFill="1" applyBorder="1"/>
    <xf numFmtId="164" fontId="40" fillId="35" borderId="1" xfId="0" applyNumberFormat="1" applyFont="1" applyFill="1" applyBorder="1" applyAlignment="1">
      <alignment horizontal="center" vertical="center" wrapText="1"/>
    </xf>
    <xf numFmtId="0" fontId="41" fillId="0" borderId="1" xfId="0" applyFont="1" applyBorder="1"/>
    <xf numFmtId="9" fontId="1" fillId="35" borderId="1" xfId="0" applyNumberFormat="1" applyFont="1" applyFill="1" applyBorder="1"/>
    <xf numFmtId="0" fontId="0" fillId="0" borderId="0" xfId="0" applyAlignment="1">
      <alignment horizontal="left" wrapText="1"/>
    </xf>
    <xf numFmtId="0" fontId="0" fillId="0" borderId="34" xfId="0" applyBorder="1" applyAlignment="1">
      <alignment horizontal="left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0" fillId="34" borderId="0" xfId="0" applyFill="1" applyAlignment="1">
      <alignment horizontal="center" vertical="center" wrapText="1"/>
    </xf>
    <xf numFmtId="0" fontId="0" fillId="34" borderId="34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0" fontId="4" fillId="0" borderId="7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6" fontId="4" fillId="0" borderId="7" xfId="0" applyNumberFormat="1" applyFont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34" borderId="0" xfId="0" applyFill="1" applyAlignment="1">
      <alignment horizontal="left" vertical="center" wrapText="1"/>
    </xf>
    <xf numFmtId="0" fontId="0" fillId="34" borderId="34" xfId="0" applyFill="1" applyBorder="1" applyAlignment="1">
      <alignment horizontal="left" vertical="center" wrapText="1"/>
    </xf>
  </cellXfs>
  <cellStyles count="132">
    <cellStyle name="Blank" xfId="18" xr:uid="{00000000-0005-0000-0000-000000000000}"/>
    <cellStyle name="Calculation Cell" xfId="16" xr:uid="{00000000-0005-0000-0000-000001000000}"/>
    <cellStyle name="Calculation Cell Total" xfId="17" xr:uid="{00000000-0005-0000-0000-000002000000}"/>
    <cellStyle name="Call Up Data" xfId="14" xr:uid="{00000000-0005-0000-0000-000003000000}"/>
    <cellStyle name="Check cell 2" xfId="24" xr:uid="{00000000-0005-0000-0000-000004000000}"/>
    <cellStyle name="Comma" xfId="1" builtinId="3"/>
    <cellStyle name="Comma 2" xfId="7" xr:uid="{00000000-0005-0000-0000-000006000000}"/>
    <cellStyle name="Comma 2 2" xfId="123" xr:uid="{00000000-0005-0000-0000-000007000000}"/>
    <cellStyle name="Comma 2 2 2" xfId="124" xr:uid="{00000000-0005-0000-0000-000008000000}"/>
    <cellStyle name="Currency 2" xfId="8" xr:uid="{00000000-0005-0000-0000-000009000000}"/>
    <cellStyle name="Heading 1 2" xfId="10" xr:uid="{00000000-0005-0000-0000-00000A000000}"/>
    <cellStyle name="Heading 2 2" xfId="11" xr:uid="{00000000-0005-0000-0000-00000B000000}"/>
    <cellStyle name="Heading 3 2" xfId="12" xr:uid="{00000000-0005-0000-0000-00000C000000}"/>
    <cellStyle name="Heading 4 2" xfId="13" xr:uid="{00000000-0005-0000-0000-00000D000000}"/>
    <cellStyle name="Heading 5" xfId="20" xr:uid="{00000000-0005-0000-0000-00000E000000}"/>
    <cellStyle name="Heading 6" xfId="22" xr:uid="{00000000-0005-0000-0000-00000F000000}"/>
    <cellStyle name="Hyperlink 2" xfId="31" hidden="1" xr:uid="{00000000-0005-0000-0000-000012000000}"/>
    <cellStyle name="Hyperlink 2" xfId="27" hidden="1" xr:uid="{00000000-0005-0000-0000-000010000000}"/>
    <cellStyle name="Hyperlink 2" xfId="43" hidden="1" xr:uid="{00000000-0005-0000-0000-000018000000}"/>
    <cellStyle name="Hyperlink 2" xfId="55" hidden="1" xr:uid="{00000000-0005-0000-0000-00001E000000}"/>
    <cellStyle name="Hyperlink 2" xfId="47" hidden="1" xr:uid="{00000000-0005-0000-0000-00001A000000}"/>
    <cellStyle name="Hyperlink 2" xfId="113" hidden="1" xr:uid="{00000000-0005-0000-0000-000038000000}"/>
    <cellStyle name="Hyperlink 2" xfId="86" hidden="1" xr:uid="{00000000-0005-0000-0000-00002B000000}"/>
    <cellStyle name="Hyperlink 2" xfId="92" hidden="1" xr:uid="{00000000-0005-0000-0000-00002E000000}"/>
    <cellStyle name="Hyperlink 2" xfId="98" hidden="1" xr:uid="{00000000-0005-0000-0000-000031000000}"/>
    <cellStyle name="Hyperlink 2" xfId="100" hidden="1" xr:uid="{00000000-0005-0000-0000-000032000000}"/>
    <cellStyle name="Hyperlink 2" xfId="102" hidden="1" xr:uid="{00000000-0005-0000-0000-000033000000}"/>
    <cellStyle name="Hyperlink 2" xfId="108" hidden="1" xr:uid="{00000000-0005-0000-0000-000036000000}"/>
    <cellStyle name="Hyperlink 2" xfId="118" hidden="1" xr:uid="{00000000-0005-0000-0000-000039000000}"/>
    <cellStyle name="Hyperlink 2" xfId="109" hidden="1" xr:uid="{00000000-0005-0000-0000-000037000000}"/>
    <cellStyle name="Hyperlink 2" xfId="76" hidden="1" xr:uid="{00000000-0005-0000-0000-000026000000}"/>
    <cellStyle name="Hyperlink 2" xfId="78" hidden="1" xr:uid="{00000000-0005-0000-0000-000027000000}"/>
    <cellStyle name="Hyperlink 2" xfId="82" hidden="1" xr:uid="{00000000-0005-0000-0000-000029000000}"/>
    <cellStyle name="Hyperlink 2" xfId="69" hidden="1" xr:uid="{00000000-0005-0000-0000-000023000000}"/>
    <cellStyle name="Hyperlink 2" xfId="72" hidden="1" xr:uid="{00000000-0005-0000-0000-000025000000}"/>
    <cellStyle name="Hyperlink 2" xfId="64" hidden="1" xr:uid="{00000000-0005-0000-0000-000022000000}"/>
    <cellStyle name="Hyperlink 2" xfId="84" hidden="1" xr:uid="{00000000-0005-0000-0000-00002A000000}"/>
    <cellStyle name="Hyperlink 2" xfId="90" hidden="1" xr:uid="{00000000-0005-0000-0000-00002D000000}"/>
    <cellStyle name="Hyperlink 2" xfId="106" hidden="1" xr:uid="{00000000-0005-0000-0000-000035000000}"/>
    <cellStyle name="Hyperlink 2" xfId="94" hidden="1" xr:uid="{00000000-0005-0000-0000-00002F000000}"/>
    <cellStyle name="Hyperlink 2" xfId="80" hidden="1" xr:uid="{00000000-0005-0000-0000-000028000000}"/>
    <cellStyle name="Hyperlink 2" xfId="39" hidden="1" xr:uid="{00000000-0005-0000-0000-000016000000}"/>
    <cellStyle name="Hyperlink 2" xfId="45" hidden="1" xr:uid="{00000000-0005-0000-0000-000019000000}"/>
    <cellStyle name="Hyperlink 2" xfId="51" hidden="1" xr:uid="{00000000-0005-0000-0000-00001C000000}"/>
    <cellStyle name="Hyperlink 2" xfId="53" hidden="1" xr:uid="{00000000-0005-0000-0000-00001D000000}"/>
    <cellStyle name="Hyperlink 2" xfId="57" hidden="1" xr:uid="{00000000-0005-0000-0000-00001F000000}"/>
    <cellStyle name="Hyperlink 2" xfId="60" hidden="1" xr:uid="{00000000-0005-0000-0000-000021000000}"/>
    <cellStyle name="Hyperlink 2" xfId="59" hidden="1" xr:uid="{00000000-0005-0000-0000-000020000000}"/>
    <cellStyle name="Hyperlink 2" xfId="33" hidden="1" xr:uid="{00000000-0005-0000-0000-000013000000}"/>
    <cellStyle name="Hyperlink 2" xfId="35" hidden="1" xr:uid="{00000000-0005-0000-0000-000014000000}"/>
    <cellStyle name="Hyperlink 2" xfId="29" hidden="1" xr:uid="{00000000-0005-0000-0000-000011000000}"/>
    <cellStyle name="Hyperlink 2" xfId="37" hidden="1" xr:uid="{00000000-0005-0000-0000-000015000000}"/>
    <cellStyle name="Hyperlink 2" xfId="49" hidden="1" xr:uid="{00000000-0005-0000-0000-00001B000000}"/>
    <cellStyle name="Hyperlink 2" xfId="96" hidden="1" xr:uid="{00000000-0005-0000-0000-000030000000}"/>
    <cellStyle name="Hyperlink 2" xfId="88" hidden="1" xr:uid="{00000000-0005-0000-0000-00002C000000}"/>
    <cellStyle name="Hyperlink 2" xfId="73" hidden="1" xr:uid="{00000000-0005-0000-0000-000024000000}"/>
    <cellStyle name="Hyperlink 2" xfId="41" hidden="1" xr:uid="{00000000-0005-0000-0000-000017000000}"/>
    <cellStyle name="Hyperlink 2" xfId="121" hidden="1" xr:uid="{00000000-0005-0000-0000-00003B000000}"/>
    <cellStyle name="Hyperlink 2" xfId="104" hidden="1" xr:uid="{00000000-0005-0000-0000-000034000000}"/>
    <cellStyle name="Hyperlink 2" xfId="122" hidden="1" xr:uid="{00000000-0005-0000-0000-00003A000000}"/>
    <cellStyle name="Hyperlink 3" xfId="114" hidden="1" xr:uid="{00000000-0005-0000-0000-000040000000}"/>
    <cellStyle name="Hyperlink 3" xfId="117" hidden="1" xr:uid="{00000000-0005-0000-0000-000041000000}"/>
    <cellStyle name="Hyperlink 3" xfId="110" hidden="1" xr:uid="{00000000-0005-0000-0000-00003F000000}"/>
    <cellStyle name="Hyperlink 3" xfId="68" hidden="1" xr:uid="{00000000-0005-0000-0000-00003E000000}"/>
    <cellStyle name="Hyperlink 3" xfId="61" hidden="1" xr:uid="{00000000-0005-0000-0000-00003C000000}"/>
    <cellStyle name="Hyperlink 3" xfId="65" hidden="1" xr:uid="{00000000-0005-0000-0000-00003D000000}"/>
    <cellStyle name="Hyperlink 4" xfId="115" hidden="1" xr:uid="{00000000-0005-0000-0000-000046000000}"/>
    <cellStyle name="Hyperlink 4" xfId="119" hidden="1" xr:uid="{00000000-0005-0000-0000-000047000000}"/>
    <cellStyle name="Hyperlink 4" xfId="111" hidden="1" xr:uid="{00000000-0005-0000-0000-000045000000}"/>
    <cellStyle name="Hyperlink 4" xfId="70" hidden="1" xr:uid="{00000000-0005-0000-0000-000044000000}"/>
    <cellStyle name="Hyperlink 4" xfId="62" hidden="1" xr:uid="{00000000-0005-0000-0000-000042000000}"/>
    <cellStyle name="Hyperlink 4" xfId="66" hidden="1" xr:uid="{00000000-0005-0000-0000-000043000000}"/>
    <cellStyle name="Hyperlink 5" xfId="116" hidden="1" xr:uid="{00000000-0005-0000-0000-00004C000000}"/>
    <cellStyle name="Hyperlink 5" xfId="120" hidden="1" xr:uid="{00000000-0005-0000-0000-00004D000000}"/>
    <cellStyle name="Hyperlink 5" xfId="112" hidden="1" xr:uid="{00000000-0005-0000-0000-00004B000000}"/>
    <cellStyle name="Hyperlink 5" xfId="71" hidden="1" xr:uid="{00000000-0005-0000-0000-00004A000000}"/>
    <cellStyle name="Hyperlink 5" xfId="63" hidden="1" xr:uid="{00000000-0005-0000-0000-000048000000}"/>
    <cellStyle name="Hyperlink 5" xfId="67" hidden="1" xr:uid="{00000000-0005-0000-0000-000049000000}"/>
    <cellStyle name="Hyperlink Check." xfId="125" xr:uid="{00000000-0005-0000-0000-00004E000000}"/>
    <cellStyle name="Input 2" xfId="58" hidden="1" xr:uid="{00000000-0005-0000-0000-00005F000000}"/>
    <cellStyle name="Input 2" xfId="28" hidden="1" xr:uid="{00000000-0005-0000-0000-000050000000}"/>
    <cellStyle name="Input 2" xfId="56" hidden="1" xr:uid="{00000000-0005-0000-0000-00005E000000}"/>
    <cellStyle name="Input 2" xfId="46" hidden="1" xr:uid="{00000000-0005-0000-0000-000059000000}"/>
    <cellStyle name="Input 2" xfId="48" hidden="1" xr:uid="{00000000-0005-0000-0000-00005A000000}"/>
    <cellStyle name="Input 2" xfId="50" hidden="1" xr:uid="{00000000-0005-0000-0000-00005B000000}"/>
    <cellStyle name="Input 2" xfId="52" hidden="1" xr:uid="{00000000-0005-0000-0000-00005C000000}"/>
    <cellStyle name="Input 2" xfId="40" hidden="1" xr:uid="{00000000-0005-0000-0000-000056000000}"/>
    <cellStyle name="Input 2" xfId="44" hidden="1" xr:uid="{00000000-0005-0000-0000-000058000000}"/>
    <cellStyle name="Input 2" xfId="30" hidden="1" xr:uid="{00000000-0005-0000-0000-000051000000}"/>
    <cellStyle name="Input 2" xfId="32" hidden="1" xr:uid="{00000000-0005-0000-0000-000052000000}"/>
    <cellStyle name="Input 2" xfId="34" hidden="1" xr:uid="{00000000-0005-0000-0000-000053000000}"/>
    <cellStyle name="Input 2" xfId="36" hidden="1" xr:uid="{00000000-0005-0000-0000-000054000000}"/>
    <cellStyle name="Input 2" xfId="38" hidden="1" xr:uid="{00000000-0005-0000-0000-000055000000}"/>
    <cellStyle name="Input 2" xfId="54" hidden="1" xr:uid="{00000000-0005-0000-0000-00005D000000}"/>
    <cellStyle name="Input 2" xfId="42" hidden="1" xr:uid="{00000000-0005-0000-0000-000057000000}"/>
    <cellStyle name="Input 2" xfId="26" hidden="1" xr:uid="{00000000-0005-0000-0000-00004F000000}"/>
    <cellStyle name="Input 2" xfId="25" xr:uid="{00000000-0005-0000-0000-000060000000}"/>
    <cellStyle name="Input 2 10" xfId="91" xr:uid="{00000000-0005-0000-0000-000061000000}"/>
    <cellStyle name="Input 2 11" xfId="93" xr:uid="{00000000-0005-0000-0000-000062000000}"/>
    <cellStyle name="Input 2 12" xfId="95" xr:uid="{00000000-0005-0000-0000-000063000000}"/>
    <cellStyle name="Input 2 13" xfId="97" xr:uid="{00000000-0005-0000-0000-000064000000}"/>
    <cellStyle name="Input 2 14" xfId="99" xr:uid="{00000000-0005-0000-0000-000065000000}"/>
    <cellStyle name="Input 2 15" xfId="101" xr:uid="{00000000-0005-0000-0000-000066000000}"/>
    <cellStyle name="Input 2 16" xfId="103" xr:uid="{00000000-0005-0000-0000-000067000000}"/>
    <cellStyle name="Input 2 17" xfId="105" xr:uid="{00000000-0005-0000-0000-000068000000}"/>
    <cellStyle name="Input 2 18" xfId="107" xr:uid="{00000000-0005-0000-0000-000069000000}"/>
    <cellStyle name="Input 2 2" xfId="75" xr:uid="{00000000-0005-0000-0000-00006A000000}"/>
    <cellStyle name="Input 2 3" xfId="77" xr:uid="{00000000-0005-0000-0000-00006B000000}"/>
    <cellStyle name="Input 2 4" xfId="79" xr:uid="{00000000-0005-0000-0000-00006C000000}"/>
    <cellStyle name="Input 2 5" xfId="81" xr:uid="{00000000-0005-0000-0000-00006D000000}"/>
    <cellStyle name="Input 2 6" xfId="83" xr:uid="{00000000-0005-0000-0000-00006E000000}"/>
    <cellStyle name="Input 2 7" xfId="85" xr:uid="{00000000-0005-0000-0000-00006F000000}"/>
    <cellStyle name="Input 2 8" xfId="87" xr:uid="{00000000-0005-0000-0000-000070000000}"/>
    <cellStyle name="Input 2 9" xfId="89" xr:uid="{00000000-0005-0000-0000-000071000000}"/>
    <cellStyle name="Input Data" xfId="4" xr:uid="{00000000-0005-0000-0000-000072000000}"/>
    <cellStyle name="Instructions" xfId="19" xr:uid="{00000000-0005-0000-0000-000073000000}"/>
    <cellStyle name="Normal" xfId="0" builtinId="0"/>
    <cellStyle name="Normal 2" xfId="2" xr:uid="{00000000-0005-0000-0000-000075000000}"/>
    <cellStyle name="Normal 2 2" xfId="126" xr:uid="{00000000-0005-0000-0000-000076000000}"/>
    <cellStyle name="Normal 2 2 2" xfId="127" xr:uid="{00000000-0005-0000-0000-000077000000}"/>
    <cellStyle name="Normal 2 3" xfId="128" xr:uid="{00000000-0005-0000-0000-000078000000}"/>
    <cellStyle name="Normal 3" xfId="6" xr:uid="{00000000-0005-0000-0000-000079000000}"/>
    <cellStyle name="Normal 3 43" xfId="129" xr:uid="{00000000-0005-0000-0000-00007A000000}"/>
    <cellStyle name="Normal 4" xfId="5" xr:uid="{00000000-0005-0000-0000-00007B000000}"/>
    <cellStyle name="Normal 5" xfId="74" xr:uid="{00000000-0005-0000-0000-00007C000000}"/>
    <cellStyle name="Normal 5 2" xfId="130" xr:uid="{00000000-0005-0000-0000-00007D000000}"/>
    <cellStyle name="Normal 5 3" xfId="131" xr:uid="{00000000-0005-0000-0000-00007E000000}"/>
    <cellStyle name="Output data" xfId="23" xr:uid="{00000000-0005-0000-0000-00007F000000}"/>
    <cellStyle name="Percent" xfId="3" builtinId="5"/>
    <cellStyle name="Percent 2" xfId="9" xr:uid="{00000000-0005-0000-0000-000081000000}"/>
    <cellStyle name="Time Line" xfId="15" xr:uid="{00000000-0005-0000-0000-000082000000}"/>
    <cellStyle name="Unused" xfId="21" xr:uid="{00000000-0005-0000-0000-00008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harges%20Policy%20post%202009\Discount%20model\Ready%20Reckoner%20Discounts%202017-18%20by%20sec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Data Entry"/>
      <sheetName val="Charging RSL Spilt per grade"/>
      <sheetName val="RSL Invoice"/>
      <sheetName val="PIA discount calculation"/>
      <sheetName val="PSL Invoice PIA"/>
      <sheetName val="Charging GHE Spilt per grade"/>
      <sheetName val="GHE Invoice"/>
      <sheetName val="Final invoice totals"/>
      <sheetName val="Annual data (rates, Bands, disc"/>
      <sheetName val="Game Handling Establishments"/>
      <sheetName val="Poultry Slaughterhouse"/>
      <sheetName val="Red Meat Slaughterhous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D6" t="str">
            <v>OV Single</v>
          </cell>
        </row>
        <row r="7">
          <cell r="D7" t="str">
            <v>OV 1.5</v>
          </cell>
        </row>
        <row r="8">
          <cell r="D8" t="str">
            <v>OV Dbl</v>
          </cell>
        </row>
        <row r="9">
          <cell r="D9" t="str">
            <v>MHI Single</v>
          </cell>
        </row>
        <row r="10">
          <cell r="D10" t="str">
            <v>MHI 1.5</v>
          </cell>
        </row>
        <row r="11">
          <cell r="D11" t="str">
            <v>MHI Dbl</v>
          </cell>
        </row>
        <row r="14">
          <cell r="D14" t="str">
            <v>OV Single</v>
          </cell>
        </row>
        <row r="15">
          <cell r="D15" t="str">
            <v>OV 1.5</v>
          </cell>
        </row>
        <row r="16">
          <cell r="D16" t="str">
            <v>OV Dbl</v>
          </cell>
        </row>
        <row r="17">
          <cell r="D17" t="str">
            <v>MHI Single</v>
          </cell>
        </row>
        <row r="18">
          <cell r="D18" t="str">
            <v>MHI 1.5</v>
          </cell>
        </row>
        <row r="19">
          <cell r="D19" t="str">
            <v>MHI Dbl</v>
          </cell>
        </row>
        <row r="22">
          <cell r="D22" t="str">
            <v>OV Single</v>
          </cell>
        </row>
        <row r="23">
          <cell r="D23" t="str">
            <v>OV 1.5</v>
          </cell>
        </row>
        <row r="24">
          <cell r="D24" t="str">
            <v>OV Dbl</v>
          </cell>
        </row>
        <row r="25">
          <cell r="D25" t="str">
            <v>MHI Single</v>
          </cell>
        </row>
        <row r="26">
          <cell r="D26" t="str">
            <v>MHI 1.5</v>
          </cell>
        </row>
        <row r="27">
          <cell r="D27" t="str">
            <v>MHI Dbl</v>
          </cell>
        </row>
        <row r="30">
          <cell r="D30" t="str">
            <v>OV Single</v>
          </cell>
        </row>
        <row r="31">
          <cell r="D31" t="str">
            <v>OV 1.5</v>
          </cell>
        </row>
        <row r="32">
          <cell r="D32" t="str">
            <v>OV Dbl</v>
          </cell>
        </row>
        <row r="33">
          <cell r="D33" t="str">
            <v>MHI Single</v>
          </cell>
        </row>
        <row r="34">
          <cell r="D34" t="str">
            <v>MHI 1.5</v>
          </cell>
        </row>
        <row r="35">
          <cell r="D35" t="str">
            <v>MHI Dbl</v>
          </cell>
        </row>
        <row r="38">
          <cell r="D38" t="str">
            <v>OV Single</v>
          </cell>
        </row>
        <row r="39">
          <cell r="D39" t="str">
            <v>OV 1.5</v>
          </cell>
        </row>
        <row r="40">
          <cell r="D40" t="str">
            <v>OV Dbl</v>
          </cell>
        </row>
        <row r="41">
          <cell r="D41" t="str">
            <v>MHI Single</v>
          </cell>
        </row>
        <row r="42">
          <cell r="D42" t="str">
            <v>MHI 1.5</v>
          </cell>
        </row>
        <row r="43">
          <cell r="D43" t="str">
            <v>MHI Dbl</v>
          </cell>
        </row>
        <row r="46">
          <cell r="D46" t="str">
            <v>OV Single</v>
          </cell>
        </row>
        <row r="47">
          <cell r="D47" t="str">
            <v>OV 1.5</v>
          </cell>
        </row>
        <row r="48">
          <cell r="D48" t="str">
            <v>OV Dbl</v>
          </cell>
        </row>
        <row r="49">
          <cell r="D49" t="str">
            <v>MHI Single</v>
          </cell>
        </row>
        <row r="50">
          <cell r="D50" t="str">
            <v>MHI 1.5</v>
          </cell>
        </row>
        <row r="51">
          <cell r="D51" t="str">
            <v>MHI Dbl</v>
          </cell>
        </row>
      </sheetData>
      <sheetData sheetId="5" refreshError="1"/>
      <sheetData sheetId="6" refreshError="1"/>
      <sheetData sheetId="7" refreshError="1"/>
      <sheetData sheetId="8">
        <row r="3">
          <cell r="A3" t="str">
            <v>Regulated Charge RSL</v>
          </cell>
        </row>
        <row r="4">
          <cell r="A4" t="str">
            <v>Regulated Charge PSL</v>
          </cell>
        </row>
        <row r="5">
          <cell r="A5" t="str">
            <v>Regulated Charge GHE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5"/>
  <sheetViews>
    <sheetView showGridLines="0" tabSelected="1" zoomScaleNormal="100" workbookViewId="0">
      <selection activeCell="D21" sqref="D21"/>
    </sheetView>
  </sheetViews>
  <sheetFormatPr defaultColWidth="8.84375" defaultRowHeight="15.5" x14ac:dyDescent="0.35"/>
  <cols>
    <col min="1" max="1" width="19.07421875" customWidth="1"/>
    <col min="2" max="2" width="9.69140625" bestFit="1" customWidth="1"/>
    <col min="3" max="3" width="16.07421875" bestFit="1" customWidth="1"/>
    <col min="4" max="4" width="19.69140625" customWidth="1"/>
    <col min="5" max="5" width="15.3046875" customWidth="1"/>
    <col min="6" max="6" width="21" customWidth="1"/>
    <col min="7" max="7" width="25.23046875" customWidth="1"/>
    <col min="8" max="8" width="11.84375" customWidth="1"/>
    <col min="9" max="9" width="12.3046875" customWidth="1"/>
    <col min="10" max="10" width="15.69140625" customWidth="1"/>
  </cols>
  <sheetData>
    <row r="1" spans="1:10" x14ac:dyDescent="0.35">
      <c r="A1" s="6" t="s">
        <v>160</v>
      </c>
    </row>
    <row r="2" spans="1:10" x14ac:dyDescent="0.35">
      <c r="A2" s="6"/>
      <c r="G2" s="38" t="s">
        <v>0</v>
      </c>
    </row>
    <row r="3" spans="1:10" x14ac:dyDescent="0.35">
      <c r="A3" s="39" t="s">
        <v>1</v>
      </c>
      <c r="I3" s="196" t="str">
        <f>'[1]Final invoice totals'!A5</f>
        <v>Regulated Charge GHE</v>
      </c>
      <c r="J3" s="196"/>
    </row>
    <row r="4" spans="1:10" s="41" customFormat="1" x14ac:dyDescent="0.35">
      <c r="A4" s="40" t="s">
        <v>2</v>
      </c>
      <c r="B4" s="106"/>
      <c r="C4" s="106"/>
      <c r="D4" s="106"/>
      <c r="E4" s="106"/>
      <c r="F4" s="106"/>
      <c r="G4" s="106"/>
      <c r="H4" s="106" t="s">
        <v>3</v>
      </c>
      <c r="I4" s="106" t="s">
        <v>4</v>
      </c>
      <c r="J4" s="106" t="s">
        <v>5</v>
      </c>
    </row>
    <row r="5" spans="1:10" x14ac:dyDescent="0.35">
      <c r="A5" t="s">
        <v>161</v>
      </c>
      <c r="G5" s="42" t="s">
        <v>6</v>
      </c>
      <c r="H5" s="108" t="str">
        <f>'[1]PIA discount calculation'!D6</f>
        <v>OV Single</v>
      </c>
      <c r="I5" s="109">
        <f>'Charging GHE Spilt per grade'!AD6</f>
        <v>0</v>
      </c>
      <c r="J5" s="110">
        <f>'GHE Invoice'!R3</f>
        <v>0</v>
      </c>
    </row>
    <row r="6" spans="1:10" x14ac:dyDescent="0.35">
      <c r="A6" t="s">
        <v>162</v>
      </c>
      <c r="G6" s="90">
        <f>'Annual data (rates, Bands, disc'!E3</f>
        <v>0.9</v>
      </c>
      <c r="H6" s="108" t="str">
        <f>'[1]PIA discount calculation'!D7</f>
        <v>OV 1.5</v>
      </c>
      <c r="I6" s="109">
        <f>'Charging GHE Spilt per grade'!AD7</f>
        <v>0</v>
      </c>
      <c r="J6" s="110">
        <f>'GHE Invoice'!R4</f>
        <v>0</v>
      </c>
    </row>
    <row r="7" spans="1:10" x14ac:dyDescent="0.35">
      <c r="A7" t="s">
        <v>7</v>
      </c>
      <c r="G7" s="42"/>
      <c r="H7" s="108" t="str">
        <f>'[1]PIA discount calculation'!D8</f>
        <v>OV Dbl</v>
      </c>
      <c r="I7" s="109">
        <f>'Charging GHE Spilt per grade'!AD8</f>
        <v>0</v>
      </c>
      <c r="J7" s="110">
        <f>'GHE Invoice'!R5</f>
        <v>0</v>
      </c>
    </row>
    <row r="8" spans="1:10" x14ac:dyDescent="0.35">
      <c r="G8" s="42"/>
      <c r="H8" s="108" t="str">
        <f>'[1]PIA discount calculation'!D9</f>
        <v>MHI Single</v>
      </c>
      <c r="I8" s="109">
        <f>'Charging GHE Spilt per grade'!AD9</f>
        <v>0</v>
      </c>
      <c r="J8" s="110">
        <f>'GHE Invoice'!R6</f>
        <v>0</v>
      </c>
    </row>
    <row r="9" spans="1:10" x14ac:dyDescent="0.35">
      <c r="A9" s="40" t="s">
        <v>8</v>
      </c>
      <c r="G9" s="42"/>
      <c r="H9" s="108" t="str">
        <f>'[1]PIA discount calculation'!D10</f>
        <v>MHI 1.5</v>
      </c>
      <c r="I9" s="109">
        <f>'Charging GHE Spilt per grade'!AD10</f>
        <v>0</v>
      </c>
      <c r="J9" s="110">
        <f>'GHE Invoice'!R7</f>
        <v>0</v>
      </c>
    </row>
    <row r="10" spans="1:10" x14ac:dyDescent="0.35">
      <c r="A10" t="s">
        <v>9</v>
      </c>
      <c r="G10" s="42"/>
      <c r="H10" s="108" t="str">
        <f>'[1]PIA discount calculation'!D11</f>
        <v>MHI Dbl</v>
      </c>
      <c r="I10" s="109">
        <f>'Charging GHE Spilt per grade'!AD11</f>
        <v>0</v>
      </c>
      <c r="J10" s="110">
        <f>'GHE Invoice'!R8</f>
        <v>0</v>
      </c>
    </row>
    <row r="11" spans="1:10" x14ac:dyDescent="0.35">
      <c r="G11" s="43" t="s">
        <v>10</v>
      </c>
      <c r="H11" s="108" t="str">
        <f>'[1]PIA discount calculation'!D14</f>
        <v>OV Single</v>
      </c>
      <c r="I11" s="109">
        <f>'Charging GHE Spilt per grade'!AD12</f>
        <v>0</v>
      </c>
      <c r="J11" s="110">
        <f>'GHE Invoice'!R9</f>
        <v>0</v>
      </c>
    </row>
    <row r="12" spans="1:10" x14ac:dyDescent="0.35">
      <c r="A12" s="40" t="s">
        <v>11</v>
      </c>
      <c r="G12" s="91">
        <f>'Annual data (rates, Bands, disc'!E4</f>
        <v>0.75</v>
      </c>
      <c r="H12" s="108" t="str">
        <f>'[1]PIA discount calculation'!D15</f>
        <v>OV 1.5</v>
      </c>
      <c r="I12" s="109">
        <f>'Charging GHE Spilt per grade'!AD13</f>
        <v>0</v>
      </c>
      <c r="J12" s="110">
        <f>'GHE Invoice'!R10</f>
        <v>0</v>
      </c>
    </row>
    <row r="13" spans="1:10" x14ac:dyDescent="0.35">
      <c r="A13" t="s">
        <v>12</v>
      </c>
      <c r="G13" s="43"/>
      <c r="H13" s="108" t="str">
        <f>'[1]PIA discount calculation'!D16</f>
        <v>OV Dbl</v>
      </c>
      <c r="I13" s="109">
        <f>'Charging GHE Spilt per grade'!AD14</f>
        <v>0</v>
      </c>
      <c r="J13" s="110">
        <f>'GHE Invoice'!R11</f>
        <v>0</v>
      </c>
    </row>
    <row r="14" spans="1:10" x14ac:dyDescent="0.35">
      <c r="A14" t="s">
        <v>13</v>
      </c>
      <c r="G14" s="43"/>
      <c r="H14" s="108" t="str">
        <f>'[1]PIA discount calculation'!D17</f>
        <v>MHI Single</v>
      </c>
      <c r="I14" s="109">
        <f>'Charging GHE Spilt per grade'!AD15</f>
        <v>0</v>
      </c>
      <c r="J14" s="110">
        <f>'GHE Invoice'!R12</f>
        <v>0</v>
      </c>
    </row>
    <row r="15" spans="1:10" x14ac:dyDescent="0.35">
      <c r="G15" s="43"/>
      <c r="H15" s="108" t="str">
        <f>'[1]PIA discount calculation'!D18</f>
        <v>MHI 1.5</v>
      </c>
      <c r="I15" s="109">
        <f>'Charging GHE Spilt per grade'!AD16</f>
        <v>0</v>
      </c>
      <c r="J15" s="110">
        <f>'GHE Invoice'!R13</f>
        <v>0</v>
      </c>
    </row>
    <row r="16" spans="1:10" x14ac:dyDescent="0.35">
      <c r="A16" s="40" t="s">
        <v>14</v>
      </c>
      <c r="G16" s="43"/>
      <c r="H16" s="108" t="str">
        <f>'[1]PIA discount calculation'!D19</f>
        <v>MHI Dbl</v>
      </c>
      <c r="I16" s="109">
        <f>'Charging GHE Spilt per grade'!AD17</f>
        <v>0</v>
      </c>
      <c r="J16" s="110">
        <f>'GHE Invoice'!R14</f>
        <v>0</v>
      </c>
    </row>
    <row r="17" spans="1:10" ht="16.5" customHeight="1" x14ac:dyDescent="0.35">
      <c r="A17" t="s">
        <v>15</v>
      </c>
      <c r="G17" s="45" t="s">
        <v>16</v>
      </c>
      <c r="H17" s="108" t="str">
        <f>'[1]PIA discount calculation'!D22</f>
        <v>OV Single</v>
      </c>
      <c r="I17" s="109">
        <f>'Charging GHE Spilt per grade'!AD18</f>
        <v>0</v>
      </c>
      <c r="J17" s="110">
        <f>'GHE Invoice'!R15</f>
        <v>0</v>
      </c>
    </row>
    <row r="18" spans="1:10" x14ac:dyDescent="0.35">
      <c r="G18" s="92">
        <f>'Annual data (rates, Bands, disc'!E5</f>
        <v>0.17</v>
      </c>
      <c r="H18" s="108" t="str">
        <f>'[1]PIA discount calculation'!D23</f>
        <v>OV 1.5</v>
      </c>
      <c r="I18" s="109">
        <f>'Charging GHE Spilt per grade'!AD19</f>
        <v>0</v>
      </c>
      <c r="J18" s="110">
        <f>'GHE Invoice'!R16</f>
        <v>0</v>
      </c>
    </row>
    <row r="19" spans="1:10" ht="15.75" customHeight="1" x14ac:dyDescent="0.35">
      <c r="A19" s="7" t="s">
        <v>17</v>
      </c>
      <c r="B19" s="3"/>
      <c r="C19" s="3"/>
      <c r="D19" s="29" t="s">
        <v>18</v>
      </c>
      <c r="G19" s="45"/>
      <c r="H19" s="108" t="str">
        <f>'[1]PIA discount calculation'!D24</f>
        <v>OV Dbl</v>
      </c>
      <c r="I19" s="109">
        <f>'Charging GHE Spilt per grade'!AD20</f>
        <v>0</v>
      </c>
      <c r="J19" s="110">
        <f>'GHE Invoice'!R17</f>
        <v>0</v>
      </c>
    </row>
    <row r="20" spans="1:10" s="41" customFormat="1" ht="12.75" customHeight="1" x14ac:dyDescent="0.35">
      <c r="A20" s="44" t="s">
        <v>19</v>
      </c>
      <c r="B20" s="44" t="s">
        <v>20</v>
      </c>
      <c r="C20" s="44" t="s">
        <v>21</v>
      </c>
      <c r="D20" s="37" t="s">
        <v>22</v>
      </c>
      <c r="E20"/>
      <c r="F20"/>
      <c r="G20" s="45"/>
      <c r="H20" s="108" t="str">
        <f>'[1]PIA discount calculation'!D25</f>
        <v>MHI Single</v>
      </c>
      <c r="I20" s="109">
        <f>'Charging GHE Spilt per grade'!AD21</f>
        <v>0</v>
      </c>
      <c r="J20" s="110">
        <f>'GHE Invoice'!R18</f>
        <v>0</v>
      </c>
    </row>
    <row r="21" spans="1:10" x14ac:dyDescent="0.35">
      <c r="A21" s="106" t="s">
        <v>23</v>
      </c>
      <c r="B21" s="106" t="s">
        <v>24</v>
      </c>
      <c r="C21" s="111">
        <f>'Annual data (rates, Bands, disc'!B26</f>
        <v>65.900000000000006</v>
      </c>
      <c r="D21" s="112"/>
      <c r="E21" s="44"/>
      <c r="G21" s="45"/>
      <c r="H21" s="108" t="str">
        <f>'[1]PIA discount calculation'!D26</f>
        <v>MHI 1.5</v>
      </c>
      <c r="I21" s="109">
        <f>'Charging GHE Spilt per grade'!AD22</f>
        <v>0</v>
      </c>
      <c r="J21" s="110">
        <f>'GHE Invoice'!R19</f>
        <v>0</v>
      </c>
    </row>
    <row r="22" spans="1:10" x14ac:dyDescent="0.35">
      <c r="A22" s="106" t="s">
        <v>23</v>
      </c>
      <c r="B22" s="106" t="s">
        <v>25</v>
      </c>
      <c r="C22" s="111">
        <f>'Annual data (rates, Bands, disc'!B27</f>
        <v>98.850000000000009</v>
      </c>
      <c r="D22" s="113"/>
      <c r="F22" s="106"/>
      <c r="G22" s="45"/>
      <c r="H22" s="108" t="str">
        <f>'[1]PIA discount calculation'!D27</f>
        <v>MHI Dbl</v>
      </c>
      <c r="I22" s="109">
        <f>'Charging GHE Spilt per grade'!AD23</f>
        <v>0</v>
      </c>
      <c r="J22" s="110">
        <f>'GHE Invoice'!R20</f>
        <v>0</v>
      </c>
    </row>
    <row r="23" spans="1:10" x14ac:dyDescent="0.35">
      <c r="A23" s="106" t="s">
        <v>23</v>
      </c>
      <c r="B23" s="106" t="s">
        <v>26</v>
      </c>
      <c r="C23" s="111">
        <f>'Annual data (rates, Bands, disc'!B28</f>
        <v>131.80000000000001</v>
      </c>
      <c r="D23" s="114"/>
      <c r="G23" s="46" t="s">
        <v>27</v>
      </c>
      <c r="H23" s="108" t="str">
        <f>'[1]PIA discount calculation'!D30</f>
        <v>OV Single</v>
      </c>
      <c r="I23" s="109">
        <f>'Charging GHE Spilt per grade'!AD24</f>
        <v>0</v>
      </c>
      <c r="J23" s="110">
        <f>'GHE Invoice'!R21</f>
        <v>0</v>
      </c>
    </row>
    <row r="24" spans="1:10" x14ac:dyDescent="0.35">
      <c r="A24" s="106"/>
      <c r="B24" s="197" t="s">
        <v>28</v>
      </c>
      <c r="C24" s="198"/>
      <c r="D24" s="115">
        <f>SUM(D21:D23)</f>
        <v>0</v>
      </c>
      <c r="E24" s="106"/>
      <c r="G24" s="94">
        <f>'Annual data (rates, Bands, disc'!E6</f>
        <v>0.06</v>
      </c>
      <c r="H24" s="108" t="str">
        <f>'[1]PIA discount calculation'!D31</f>
        <v>OV 1.5</v>
      </c>
      <c r="I24" s="109">
        <f>'Charging GHE Spilt per grade'!AD25</f>
        <v>0</v>
      </c>
      <c r="J24" s="110">
        <f>'GHE Invoice'!R22</f>
        <v>0</v>
      </c>
    </row>
    <row r="25" spans="1:10" x14ac:dyDescent="0.35">
      <c r="A25" s="106" t="s">
        <v>29</v>
      </c>
      <c r="B25" s="106" t="s">
        <v>24</v>
      </c>
      <c r="C25" s="111">
        <f>'Annual data (rates, Bands, disc'!B29</f>
        <v>43.2</v>
      </c>
      <c r="D25" s="112"/>
      <c r="G25" s="46"/>
      <c r="H25" s="108" t="str">
        <f>'[1]PIA discount calculation'!D32</f>
        <v>OV Dbl</v>
      </c>
      <c r="I25" s="109">
        <f>'Charging GHE Spilt per grade'!AD26</f>
        <v>0</v>
      </c>
      <c r="J25" s="110">
        <f>'GHE Invoice'!R23</f>
        <v>0</v>
      </c>
    </row>
    <row r="26" spans="1:10" x14ac:dyDescent="0.35">
      <c r="A26" s="106" t="s">
        <v>29</v>
      </c>
      <c r="B26" s="106" t="s">
        <v>25</v>
      </c>
      <c r="C26" s="111">
        <f>'Annual data (rates, Bands, disc'!B30</f>
        <v>64.800000000000011</v>
      </c>
      <c r="D26" s="113"/>
      <c r="G26" s="46"/>
      <c r="H26" s="108" t="str">
        <f>'[1]PIA discount calculation'!D33</f>
        <v>MHI Single</v>
      </c>
      <c r="I26" s="109">
        <f>'Charging GHE Spilt per grade'!AD27</f>
        <v>0</v>
      </c>
      <c r="J26" s="110">
        <f>'GHE Invoice'!R24</f>
        <v>0</v>
      </c>
    </row>
    <row r="27" spans="1:10" x14ac:dyDescent="0.35">
      <c r="A27" s="106" t="s">
        <v>29</v>
      </c>
      <c r="B27" s="106" t="s">
        <v>26</v>
      </c>
      <c r="C27" s="111">
        <f>'Annual data (rates, Bands, disc'!B31</f>
        <v>86.4</v>
      </c>
      <c r="D27" s="114"/>
      <c r="G27" s="46"/>
      <c r="H27" s="108" t="str">
        <f>'[1]PIA discount calculation'!D34</f>
        <v>MHI 1.5</v>
      </c>
      <c r="I27" s="109">
        <f>'Charging GHE Spilt per grade'!AD28</f>
        <v>0</v>
      </c>
      <c r="J27" s="110">
        <f>'GHE Invoice'!R25</f>
        <v>0</v>
      </c>
    </row>
    <row r="28" spans="1:10" ht="16" thickBot="1" x14ac:dyDescent="0.4">
      <c r="A28" s="106"/>
      <c r="B28" s="197" t="s">
        <v>30</v>
      </c>
      <c r="C28" s="198"/>
      <c r="D28" s="116">
        <f>SUM(D25:D27)</f>
        <v>0</v>
      </c>
      <c r="G28" s="46"/>
      <c r="H28" s="108" t="str">
        <f>'[1]PIA discount calculation'!D35</f>
        <v>MHI Dbl</v>
      </c>
      <c r="I28" s="109">
        <f>'Charging GHE Spilt per grade'!AD29</f>
        <v>0</v>
      </c>
      <c r="J28" s="110">
        <f>'GHE Invoice'!R26</f>
        <v>0</v>
      </c>
    </row>
    <row r="29" spans="1:10" ht="16.5" thickTop="1" thickBot="1" x14ac:dyDescent="0.4">
      <c r="B29" s="197" t="s">
        <v>31</v>
      </c>
      <c r="C29" s="198"/>
      <c r="D29" s="47">
        <f>D24+D28</f>
        <v>0</v>
      </c>
      <c r="G29" s="49" t="s">
        <v>32</v>
      </c>
      <c r="H29" s="108" t="str">
        <f>'[1]PIA discount calculation'!D38</f>
        <v>OV Single</v>
      </c>
      <c r="I29" s="109">
        <f>'Charging GHE Spilt per grade'!AD30</f>
        <v>0</v>
      </c>
      <c r="J29" s="110">
        <f>'GHE Invoice'!R27</f>
        <v>0</v>
      </c>
    </row>
    <row r="30" spans="1:10" x14ac:dyDescent="0.35">
      <c r="G30" s="96">
        <f>'Annual data (rates, Bands, disc'!E7</f>
        <v>0.04</v>
      </c>
      <c r="H30" s="108" t="str">
        <f>'[1]PIA discount calculation'!D39</f>
        <v>OV 1.5</v>
      </c>
      <c r="I30" s="109">
        <f>'Charging GHE Spilt per grade'!AD31</f>
        <v>0</v>
      </c>
      <c r="J30" s="110">
        <f>'GHE Invoice'!R28</f>
        <v>0</v>
      </c>
    </row>
    <row r="31" spans="1:10" x14ac:dyDescent="0.35">
      <c r="A31" s="7" t="s">
        <v>33</v>
      </c>
      <c r="D31" s="48"/>
      <c r="G31" s="49"/>
      <c r="H31" s="108" t="str">
        <f>'[1]PIA discount calculation'!D40</f>
        <v>OV Dbl</v>
      </c>
      <c r="I31" s="109">
        <f>'Charging GHE Spilt per grade'!AD32</f>
        <v>0</v>
      </c>
      <c r="J31" s="110">
        <f>'GHE Invoice'!R29</f>
        <v>0</v>
      </c>
    </row>
    <row r="32" spans="1:10" x14ac:dyDescent="0.35">
      <c r="A32" s="106"/>
      <c r="B32" s="44" t="s">
        <v>34</v>
      </c>
      <c r="C32" s="44" t="str">
        <f>C20</f>
        <v>Full Cost Charge Rate</v>
      </c>
      <c r="D32" s="37" t="str">
        <f>D20</f>
        <v>GHE</v>
      </c>
      <c r="G32" s="49"/>
      <c r="H32" s="108" t="str">
        <f>'[1]PIA discount calculation'!D41</f>
        <v>MHI Single</v>
      </c>
      <c r="I32" s="109">
        <f>'Charging GHE Spilt per grade'!AD33</f>
        <v>0</v>
      </c>
      <c r="J32" s="110">
        <f>'GHE Invoice'!R30</f>
        <v>0</v>
      </c>
    </row>
    <row r="33" spans="1:10" s="41" customFormat="1" x14ac:dyDescent="0.35">
      <c r="A33" s="106" t="s">
        <v>35</v>
      </c>
      <c r="B33" s="106" t="s">
        <v>36</v>
      </c>
      <c r="C33" s="111">
        <f>'Annual data (rates, Bands, disc'!C12</f>
        <v>38.35</v>
      </c>
      <c r="D33" s="112"/>
      <c r="E33"/>
      <c r="F33"/>
      <c r="G33" s="49"/>
      <c r="H33" s="108" t="str">
        <f>'[1]PIA discount calculation'!D42</f>
        <v>MHI 1.5</v>
      </c>
      <c r="I33" s="109">
        <f>'Charging GHE Spilt per grade'!AD34</f>
        <v>0</v>
      </c>
      <c r="J33" s="110">
        <f>'GHE Invoice'!R31</f>
        <v>0</v>
      </c>
    </row>
    <row r="34" spans="1:10" x14ac:dyDescent="0.35">
      <c r="A34" s="106" t="s">
        <v>37</v>
      </c>
      <c r="B34" s="106" t="s">
        <v>38</v>
      </c>
      <c r="C34" s="111">
        <f>'Annual data (rates, Bands, disc'!C13</f>
        <v>130.9</v>
      </c>
      <c r="D34" s="113"/>
      <c r="G34" s="49"/>
      <c r="H34" s="108" t="str">
        <f>'[1]PIA discount calculation'!D43</f>
        <v>MHI Dbl</v>
      </c>
      <c r="I34" s="109">
        <f>'Charging GHE Spilt per grade'!AD35</f>
        <v>0</v>
      </c>
      <c r="J34" s="110">
        <f>'GHE Invoice'!R32</f>
        <v>0</v>
      </c>
    </row>
    <row r="35" spans="1:10" x14ac:dyDescent="0.35">
      <c r="A35" s="106" t="s">
        <v>37</v>
      </c>
      <c r="B35" s="106" t="s">
        <v>39</v>
      </c>
      <c r="C35" s="111">
        <f>'Annual data (rates, Bands, disc'!C14</f>
        <v>130.9</v>
      </c>
      <c r="D35" s="113"/>
      <c r="F35" s="106"/>
      <c r="G35" s="50" t="s">
        <v>40</v>
      </c>
      <c r="H35" s="108" t="str">
        <f>'[1]PIA discount calculation'!D46</f>
        <v>OV Single</v>
      </c>
      <c r="I35" s="109">
        <f>'Charging GHE Spilt per grade'!AD36</f>
        <v>0</v>
      </c>
      <c r="J35" s="110">
        <f>'GHE Invoice'!R33</f>
        <v>0</v>
      </c>
    </row>
    <row r="36" spans="1:10" x14ac:dyDescent="0.35">
      <c r="A36" s="106" t="s">
        <v>41</v>
      </c>
      <c r="B36" s="106" t="s">
        <v>42</v>
      </c>
      <c r="C36" s="111">
        <f>'Annual data (rates, Bands, disc'!C15</f>
        <v>62.05</v>
      </c>
      <c r="D36" s="113"/>
      <c r="G36" s="98">
        <f>'Annual data (rates, Bands, disc'!E8</f>
        <v>0.02</v>
      </c>
      <c r="H36" s="108" t="str">
        <f>'[1]PIA discount calculation'!D47</f>
        <v>OV 1.5</v>
      </c>
      <c r="I36" s="109">
        <f>'Charging GHE Spilt per grade'!AD37</f>
        <v>0</v>
      </c>
      <c r="J36" s="110">
        <f>'GHE Invoice'!R34</f>
        <v>0</v>
      </c>
    </row>
    <row r="37" spans="1:10" x14ac:dyDescent="0.35">
      <c r="A37" s="106" t="s">
        <v>43</v>
      </c>
      <c r="B37" s="106" t="s">
        <v>44</v>
      </c>
      <c r="C37" s="111">
        <f>'Annual data (rates, Bands, disc'!C16</f>
        <v>39.700000000000003</v>
      </c>
      <c r="D37" s="113"/>
      <c r="E37" s="106"/>
      <c r="G37" s="50"/>
      <c r="H37" s="108" t="str">
        <f>'[1]PIA discount calculation'!D48</f>
        <v>OV Dbl</v>
      </c>
      <c r="I37" s="109">
        <f>'Charging GHE Spilt per grade'!AD38</f>
        <v>0</v>
      </c>
      <c r="J37" s="110">
        <f>'GHE Invoice'!R35</f>
        <v>0</v>
      </c>
    </row>
    <row r="38" spans="1:10" x14ac:dyDescent="0.35">
      <c r="A38" s="106" t="s">
        <v>45</v>
      </c>
      <c r="B38" s="106" t="s">
        <v>46</v>
      </c>
      <c r="C38" s="111">
        <f>'Annual data (rates, Bands, disc'!C17</f>
        <v>21.25</v>
      </c>
      <c r="D38" s="113"/>
      <c r="G38" s="52"/>
      <c r="H38" s="108" t="str">
        <f>'[1]PIA discount calculation'!D49</f>
        <v>MHI Single</v>
      </c>
      <c r="I38" s="109">
        <f>'Charging GHE Spilt per grade'!AD39</f>
        <v>0</v>
      </c>
      <c r="J38" s="110">
        <f>'GHE Invoice'!R36</f>
        <v>0</v>
      </c>
    </row>
    <row r="39" spans="1:10" x14ac:dyDescent="0.35">
      <c r="A39" s="106" t="s">
        <v>43</v>
      </c>
      <c r="B39" s="106" t="s">
        <v>47</v>
      </c>
      <c r="C39" s="111">
        <f>'Annual data (rates, Bands, disc'!C18</f>
        <v>39.700000000000003</v>
      </c>
      <c r="D39" s="113"/>
      <c r="G39" s="52"/>
      <c r="H39" s="108" t="str">
        <f>'[1]PIA discount calculation'!D50</f>
        <v>MHI 1.5</v>
      </c>
      <c r="I39" s="109">
        <f>'Charging GHE Spilt per grade'!AD40</f>
        <v>0</v>
      </c>
      <c r="J39" s="110">
        <f>'GHE Invoice'!R37</f>
        <v>0</v>
      </c>
    </row>
    <row r="40" spans="1:10" x14ac:dyDescent="0.35">
      <c r="A40" s="106" t="s">
        <v>45</v>
      </c>
      <c r="B40" s="106" t="s">
        <v>48</v>
      </c>
      <c r="C40" s="111">
        <f>'Annual data (rates, Bands, disc'!C19</f>
        <v>21.25</v>
      </c>
      <c r="D40" s="113"/>
      <c r="G40" s="52"/>
      <c r="H40" s="108" t="str">
        <f>'[1]PIA discount calculation'!D51</f>
        <v>MHI Dbl</v>
      </c>
      <c r="I40" s="109">
        <f>'Charging GHE Spilt per grade'!AD41</f>
        <v>0</v>
      </c>
      <c r="J40" s="110">
        <f>'GHE Invoice'!R38</f>
        <v>0</v>
      </c>
    </row>
    <row r="41" spans="1:10" x14ac:dyDescent="0.35">
      <c r="A41" s="106" t="s">
        <v>159</v>
      </c>
      <c r="B41" s="106" t="s">
        <v>158</v>
      </c>
      <c r="C41" s="111">
        <f>'Annual data (rates, Bands, disc'!C20</f>
        <v>21.25</v>
      </c>
      <c r="D41" s="114"/>
      <c r="G41" s="53" t="s">
        <v>49</v>
      </c>
      <c r="H41" s="53"/>
      <c r="I41" s="3"/>
      <c r="J41" s="54">
        <f>'GHE Invoice'!R41</f>
        <v>0</v>
      </c>
    </row>
    <row r="42" spans="1:10" ht="16" thickBot="1" x14ac:dyDescent="0.4">
      <c r="D42" s="51">
        <f>SUM(D33:D41)</f>
        <v>0</v>
      </c>
      <c r="G42" s="3" t="s">
        <v>50</v>
      </c>
      <c r="H42" s="3"/>
      <c r="I42" s="3"/>
      <c r="J42" s="54">
        <f>SUM(J5:J41)</f>
        <v>0</v>
      </c>
    </row>
    <row r="43" spans="1:10" ht="16" thickTop="1" x14ac:dyDescent="0.35">
      <c r="A43" s="106"/>
      <c r="B43" s="117"/>
      <c r="C43" s="111"/>
      <c r="D43" s="118"/>
      <c r="G43" s="3" t="s">
        <v>52</v>
      </c>
      <c r="H43" s="3"/>
      <c r="I43" s="109">
        <f>D45*52</f>
        <v>0</v>
      </c>
      <c r="J43" s="54">
        <f>I43*C45</f>
        <v>0</v>
      </c>
    </row>
    <row r="44" spans="1:10" x14ac:dyDescent="0.35">
      <c r="A44" s="7" t="s">
        <v>14</v>
      </c>
      <c r="D44" s="83" t="s">
        <v>51</v>
      </c>
      <c r="G44" s="7" t="s">
        <v>53</v>
      </c>
      <c r="H44" s="7"/>
      <c r="I44" s="7"/>
      <c r="J44" s="105">
        <f>SUM(J42:J43)</f>
        <v>0</v>
      </c>
    </row>
    <row r="45" spans="1:10" ht="15" customHeight="1" x14ac:dyDescent="0.35">
      <c r="A45" s="106" t="s">
        <v>23</v>
      </c>
      <c r="B45" s="106" t="s">
        <v>24</v>
      </c>
      <c r="C45" s="111">
        <f>'Annual data (rates, Bands, disc'!B36</f>
        <v>65.900000000000006</v>
      </c>
      <c r="D45" s="114"/>
      <c r="G45" s="7"/>
      <c r="H45" s="7"/>
      <c r="I45" s="7"/>
      <c r="J45" s="105"/>
    </row>
    <row r="46" spans="1:10" ht="16" thickBot="1" x14ac:dyDescent="0.4">
      <c r="B46" s="197" t="s">
        <v>54</v>
      </c>
      <c r="C46" s="198"/>
      <c r="D46" s="51">
        <f>SUM(D45)</f>
        <v>0</v>
      </c>
    </row>
    <row r="47" spans="1:10" ht="16" thickTop="1" x14ac:dyDescent="0.35">
      <c r="B47" s="36"/>
      <c r="C47" s="36"/>
      <c r="D47" s="44"/>
      <c r="G47" s="56"/>
      <c r="H47" s="57"/>
      <c r="I47" s="57"/>
      <c r="J47" s="58"/>
    </row>
    <row r="48" spans="1:10" ht="15" customHeight="1" x14ac:dyDescent="0.35">
      <c r="A48" s="6" t="s">
        <v>55</v>
      </c>
      <c r="G48" s="60" t="s">
        <v>57</v>
      </c>
      <c r="H48" s="54">
        <f>'Game Handling Establishments'!J44</f>
        <v>0</v>
      </c>
      <c r="I48" s="199" t="s">
        <v>58</v>
      </c>
      <c r="J48" s="200"/>
    </row>
    <row r="49" spans="1:10" x14ac:dyDescent="0.35">
      <c r="A49" s="59" t="s">
        <v>56</v>
      </c>
      <c r="G49" s="60"/>
      <c r="H49" s="54"/>
      <c r="I49" s="199"/>
      <c r="J49" s="200"/>
    </row>
    <row r="50" spans="1:10" x14ac:dyDescent="0.35">
      <c r="A50" t="s">
        <v>59</v>
      </c>
      <c r="G50" s="60"/>
      <c r="H50" s="54"/>
      <c r="I50" s="199"/>
      <c r="J50" s="200"/>
    </row>
    <row r="51" spans="1:10" x14ac:dyDescent="0.35">
      <c r="A51" s="59" t="s">
        <v>60</v>
      </c>
      <c r="G51" s="60" t="s">
        <v>62</v>
      </c>
      <c r="H51" s="54">
        <f>H48/12</f>
        <v>0</v>
      </c>
      <c r="I51" s="194" t="s">
        <v>63</v>
      </c>
      <c r="J51" s="195"/>
    </row>
    <row r="52" spans="1:10" x14ac:dyDescent="0.35">
      <c r="A52" s="59" t="s">
        <v>61</v>
      </c>
      <c r="G52" s="60"/>
      <c r="H52" s="54"/>
      <c r="I52" s="194"/>
      <c r="J52" s="195"/>
    </row>
    <row r="53" spans="1:10" x14ac:dyDescent="0.35">
      <c r="A53" s="59" t="s">
        <v>64</v>
      </c>
      <c r="G53" s="60"/>
      <c r="H53" s="54"/>
      <c r="I53" s="194"/>
      <c r="J53" s="195"/>
    </row>
    <row r="54" spans="1:10" x14ac:dyDescent="0.35">
      <c r="A54" t="s">
        <v>65</v>
      </c>
      <c r="G54" s="60" t="s">
        <v>66</v>
      </c>
      <c r="H54" s="54">
        <f>H48/52</f>
        <v>0</v>
      </c>
      <c r="I54" s="86"/>
      <c r="J54" s="87"/>
    </row>
    <row r="55" spans="1:10" ht="16" thickBot="1" x14ac:dyDescent="0.4">
      <c r="A55" s="59" t="s">
        <v>163</v>
      </c>
      <c r="G55" s="61"/>
      <c r="H55" s="62"/>
      <c r="I55" s="63"/>
      <c r="J55" s="64"/>
    </row>
    <row r="58" spans="1:10" ht="15" customHeight="1" x14ac:dyDescent="0.35"/>
    <row r="61" spans="1:10" ht="15" customHeight="1" x14ac:dyDescent="0.35"/>
    <row r="64" spans="1:10" ht="15" customHeight="1" x14ac:dyDescent="0.35"/>
    <row r="65" ht="15" customHeight="1" x14ac:dyDescent="0.35"/>
  </sheetData>
  <sheetProtection algorithmName="SHA-512" hashValue="NvmzremdScp54d8/Hu/HG6ARlhovzf6o7VXLDggYhbD/4kUENQ1BbTcffjoPVxqHX8o0oqK788zcEZB0Rg9brA==" saltValue="yQSokMdcOHP0NgTH3bXvzQ==" spinCount="100000" sheet="1" selectLockedCells="1"/>
  <protectedRanges>
    <protectedRange sqref="D45" name="nonregulated"/>
    <protectedRange password="822E" sqref="D33:D41" name="Allowances"/>
    <protectedRange password="822E" sqref="D21:D23" name="OV hours"/>
    <protectedRange password="822E" sqref="D25:D27" name="MHI hours"/>
    <protectedRange password="822E" sqref="D43" name="Throughput"/>
  </protectedRanges>
  <mergeCells count="7">
    <mergeCell ref="I51:J53"/>
    <mergeCell ref="I3:J3"/>
    <mergeCell ref="B24:C24"/>
    <mergeCell ref="B28:C28"/>
    <mergeCell ref="B29:C29"/>
    <mergeCell ref="I48:J50"/>
    <mergeCell ref="B46:C46"/>
  </mergeCells>
  <pageMargins left="0.7" right="0.7" top="0.75" bottom="0.75" header="0.3" footer="0.3"/>
  <pageSetup paperSize="9" scale="43" orientation="portrait" r:id="rId1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5" tint="0.59999389629810485"/>
  </sheetPr>
  <dimension ref="A1:O32"/>
  <sheetViews>
    <sheetView zoomScaleNormal="100" workbookViewId="0">
      <selection activeCell="F23" sqref="F23"/>
    </sheetView>
  </sheetViews>
  <sheetFormatPr defaultRowHeight="15.5" x14ac:dyDescent="0.35"/>
  <cols>
    <col min="1" max="1" width="12.3046875" bestFit="1" customWidth="1"/>
    <col min="2" max="2" width="9.69140625" bestFit="1" customWidth="1"/>
    <col min="3" max="3" width="11.53515625" bestFit="1" customWidth="1"/>
  </cols>
  <sheetData>
    <row r="1" spans="1:15" x14ac:dyDescent="0.35">
      <c r="A1" s="6"/>
    </row>
    <row r="2" spans="1:15" x14ac:dyDescent="0.35">
      <c r="A2" s="6"/>
    </row>
    <row r="3" spans="1:15" x14ac:dyDescent="0.35">
      <c r="A3" s="3"/>
      <c r="B3" s="3"/>
      <c r="C3" s="3"/>
      <c r="D3" s="29" t="s">
        <v>68</v>
      </c>
      <c r="E3" s="29" t="s">
        <v>69</v>
      </c>
      <c r="F3" s="29" t="s">
        <v>70</v>
      </c>
      <c r="G3" s="29" t="s">
        <v>71</v>
      </c>
      <c r="H3" s="29" t="s">
        <v>72</v>
      </c>
      <c r="I3" s="29" t="s">
        <v>73</v>
      </c>
      <c r="J3" s="29" t="s">
        <v>74</v>
      </c>
      <c r="K3" s="29" t="s">
        <v>75</v>
      </c>
      <c r="L3" s="29" t="s">
        <v>76</v>
      </c>
      <c r="M3" s="29" t="s">
        <v>77</v>
      </c>
      <c r="N3" s="29" t="s">
        <v>78</v>
      </c>
      <c r="O3" s="29" t="s">
        <v>79</v>
      </c>
    </row>
    <row r="4" spans="1:15" x14ac:dyDescent="0.35">
      <c r="A4" s="7" t="s">
        <v>19</v>
      </c>
      <c r="B4" s="7" t="s">
        <v>20</v>
      </c>
      <c r="C4" s="7" t="s">
        <v>80</v>
      </c>
      <c r="D4" s="89">
        <f>'Annual data (rates, Bands, disc'!F12</f>
        <v>4</v>
      </c>
      <c r="E4" s="89">
        <f>'Annual data (rates, Bands, disc'!G12</f>
        <v>4</v>
      </c>
      <c r="F4" s="89">
        <f>'Annual data (rates, Bands, disc'!H12</f>
        <v>5</v>
      </c>
      <c r="G4" s="89">
        <f>'Annual data (rates, Bands, disc'!I12</f>
        <v>4</v>
      </c>
      <c r="H4" s="89">
        <f>'Annual data (rates, Bands, disc'!J12</f>
        <v>5</v>
      </c>
      <c r="I4" s="89">
        <f>'Annual data (rates, Bands, disc'!K12</f>
        <v>4</v>
      </c>
      <c r="J4" s="89">
        <f>'Annual data (rates, Bands, disc'!L12</f>
        <v>4</v>
      </c>
      <c r="K4" s="89">
        <f>'Annual data (rates, Bands, disc'!M12</f>
        <v>5</v>
      </c>
      <c r="L4" s="89">
        <f>'Annual data (rates, Bands, disc'!N12</f>
        <v>4</v>
      </c>
      <c r="M4" s="89">
        <f>'Annual data (rates, Bands, disc'!O12</f>
        <v>4</v>
      </c>
      <c r="N4" s="89">
        <f>'Annual data (rates, Bands, disc'!P12</f>
        <v>4</v>
      </c>
      <c r="O4" s="89">
        <f>'Annual data (rates, Bands, disc'!Q12</f>
        <v>5</v>
      </c>
    </row>
    <row r="5" spans="1:15" x14ac:dyDescent="0.35">
      <c r="A5" s="106" t="s">
        <v>23</v>
      </c>
      <c r="B5" s="106" t="s">
        <v>24</v>
      </c>
      <c r="C5" s="111">
        <f>'Annual data (rates, Bands, disc'!B26</f>
        <v>65.900000000000006</v>
      </c>
      <c r="D5" s="119">
        <f>'Red Meat Slaughterhouse'!$D22*'Period RSL data'!D4</f>
        <v>0</v>
      </c>
      <c r="E5" s="119">
        <f>'Red Meat Slaughterhouse'!$D22*'Period RSL data'!E4</f>
        <v>0</v>
      </c>
      <c r="F5" s="119">
        <f>'Red Meat Slaughterhouse'!$D22*'Period RSL data'!F4</f>
        <v>0</v>
      </c>
      <c r="G5" s="119">
        <f>'Red Meat Slaughterhouse'!$D22*'Period RSL data'!G4</f>
        <v>0</v>
      </c>
      <c r="H5" s="119">
        <f>'Red Meat Slaughterhouse'!$D22*'Period RSL data'!H4</f>
        <v>0</v>
      </c>
      <c r="I5" s="119">
        <f>'Red Meat Slaughterhouse'!$D22*'Period RSL data'!I4</f>
        <v>0</v>
      </c>
      <c r="J5" s="119">
        <f>'Red Meat Slaughterhouse'!$D22*'Period RSL data'!J4</f>
        <v>0</v>
      </c>
      <c r="K5" s="119">
        <f>'Red Meat Slaughterhouse'!$D22*'Period RSL data'!K4</f>
        <v>0</v>
      </c>
      <c r="L5" s="119">
        <f>'Red Meat Slaughterhouse'!$D22*'Period RSL data'!L4</f>
        <v>0</v>
      </c>
      <c r="M5" s="119">
        <f>'Red Meat Slaughterhouse'!$D22*'Period RSL data'!M4</f>
        <v>0</v>
      </c>
      <c r="N5" s="119">
        <f>'Red Meat Slaughterhouse'!$D22*'Period RSL data'!N4</f>
        <v>0</v>
      </c>
      <c r="O5" s="119">
        <f>'Red Meat Slaughterhouse'!$D22*'Period RSL data'!O4</f>
        <v>0</v>
      </c>
    </row>
    <row r="6" spans="1:15" x14ac:dyDescent="0.35">
      <c r="A6" s="106" t="s">
        <v>23</v>
      </c>
      <c r="B6" s="106" t="s">
        <v>25</v>
      </c>
      <c r="C6" s="111">
        <f>'Annual data (rates, Bands, disc'!B27</f>
        <v>98.850000000000009</v>
      </c>
      <c r="D6" s="120">
        <f>'Red Meat Slaughterhouse'!$D23*'Period RSL data'!D4</f>
        <v>0</v>
      </c>
      <c r="E6" s="120">
        <f>'Red Meat Slaughterhouse'!$D23*'Period RSL data'!E4</f>
        <v>0</v>
      </c>
      <c r="F6" s="120">
        <f>'Red Meat Slaughterhouse'!$D23*'Period RSL data'!F4</f>
        <v>0</v>
      </c>
      <c r="G6" s="120">
        <f>'Red Meat Slaughterhouse'!$D23*'Period RSL data'!G4</f>
        <v>0</v>
      </c>
      <c r="H6" s="120">
        <f>'Red Meat Slaughterhouse'!$D23*'Period RSL data'!H4</f>
        <v>0</v>
      </c>
      <c r="I6" s="120">
        <f>'Red Meat Slaughterhouse'!$D23*'Period RSL data'!I4</f>
        <v>0</v>
      </c>
      <c r="J6" s="120">
        <f>'Red Meat Slaughterhouse'!$D23*'Period RSL data'!J4</f>
        <v>0</v>
      </c>
      <c r="K6" s="120">
        <f>'Red Meat Slaughterhouse'!$D23*'Period RSL data'!K4</f>
        <v>0</v>
      </c>
      <c r="L6" s="120">
        <f>'Red Meat Slaughterhouse'!$D23*'Period RSL data'!L4</f>
        <v>0</v>
      </c>
      <c r="M6" s="120">
        <f>'Red Meat Slaughterhouse'!$D23*'Period RSL data'!M4</f>
        <v>0</v>
      </c>
      <c r="N6" s="120">
        <f>'Red Meat Slaughterhouse'!$D23*'Period RSL data'!N4</f>
        <v>0</v>
      </c>
      <c r="O6" s="120">
        <f>'Red Meat Slaughterhouse'!$D23*'Period RSL data'!O4</f>
        <v>0</v>
      </c>
    </row>
    <row r="7" spans="1:15" x14ac:dyDescent="0.35">
      <c r="A7" s="106" t="s">
        <v>23</v>
      </c>
      <c r="B7" s="106" t="s">
        <v>26</v>
      </c>
      <c r="C7" s="111">
        <f>'Annual data (rates, Bands, disc'!B28</f>
        <v>131.80000000000001</v>
      </c>
      <c r="D7" s="121">
        <f>'Red Meat Slaughterhouse'!$D24*'Period RSL data'!D4</f>
        <v>0</v>
      </c>
      <c r="E7" s="121">
        <f>'Red Meat Slaughterhouse'!$D24*'Period RSL data'!E4</f>
        <v>0</v>
      </c>
      <c r="F7" s="121">
        <f>'Red Meat Slaughterhouse'!$D24*'Period RSL data'!F4</f>
        <v>0</v>
      </c>
      <c r="G7" s="121">
        <f>'Red Meat Slaughterhouse'!$D24*'Period RSL data'!G4</f>
        <v>0</v>
      </c>
      <c r="H7" s="121">
        <f>'Red Meat Slaughterhouse'!$D24*'Period RSL data'!H4</f>
        <v>0</v>
      </c>
      <c r="I7" s="121">
        <f>'Red Meat Slaughterhouse'!$D24*'Period RSL data'!I4</f>
        <v>0</v>
      </c>
      <c r="J7" s="121">
        <f>'Red Meat Slaughterhouse'!$D24*'Period RSL data'!J4</f>
        <v>0</v>
      </c>
      <c r="K7" s="121">
        <f>'Red Meat Slaughterhouse'!$D24*'Period RSL data'!K4</f>
        <v>0</v>
      </c>
      <c r="L7" s="121">
        <f>'Red Meat Slaughterhouse'!$D24*'Period RSL data'!L4</f>
        <v>0</v>
      </c>
      <c r="M7" s="121">
        <f>'Red Meat Slaughterhouse'!$D24*'Period RSL data'!M4</f>
        <v>0</v>
      </c>
      <c r="N7" s="121">
        <f>'Red Meat Slaughterhouse'!$D24*'Period RSL data'!N4</f>
        <v>0</v>
      </c>
      <c r="O7" s="121">
        <f>'Red Meat Slaughterhouse'!$D24*'Period RSL data'!O4</f>
        <v>0</v>
      </c>
    </row>
    <row r="8" spans="1:15" x14ac:dyDescent="0.35">
      <c r="A8" s="106" t="s">
        <v>81</v>
      </c>
      <c r="B8" s="106" t="s">
        <v>24</v>
      </c>
      <c r="C8" s="111">
        <f>'Annual data (rates, Bands, disc'!B29</f>
        <v>43.2</v>
      </c>
      <c r="D8" s="122">
        <f>'Red Meat Slaughterhouse'!$D26*'Period RSL data'!$D4</f>
        <v>0</v>
      </c>
      <c r="E8" s="122">
        <f>'Red Meat Slaughterhouse'!$D26*'Period RSL data'!$E4</f>
        <v>0</v>
      </c>
      <c r="F8" s="122">
        <f>'Red Meat Slaughterhouse'!$D26*'Period RSL data'!$D4</f>
        <v>0</v>
      </c>
      <c r="G8" s="122">
        <f>'Red Meat Slaughterhouse'!$D26*'Period RSL data'!$D4</f>
        <v>0</v>
      </c>
      <c r="H8" s="122">
        <f>'Red Meat Slaughterhouse'!$D26*'Period RSL data'!$H4</f>
        <v>0</v>
      </c>
      <c r="I8" s="122">
        <f>'Red Meat Slaughterhouse'!$D26*'Period RSL data'!$D4</f>
        <v>0</v>
      </c>
      <c r="J8" s="122">
        <f>'Red Meat Slaughterhouse'!$D26*'Period RSL data'!$J4</f>
        <v>0</v>
      </c>
      <c r="K8" s="122">
        <f>'Red Meat Slaughterhouse'!$D26*'Period RSL data'!$D4</f>
        <v>0</v>
      </c>
      <c r="L8" s="122">
        <f>'Red Meat Slaughterhouse'!$D26*'Period RSL data'!$D4</f>
        <v>0</v>
      </c>
      <c r="M8" s="122">
        <f>'Red Meat Slaughterhouse'!$D26*'Period RSL data'!$M4</f>
        <v>0</v>
      </c>
      <c r="N8" s="122">
        <f>'Red Meat Slaughterhouse'!$D26*'Period RSL data'!$D4</f>
        <v>0</v>
      </c>
      <c r="O8" s="122">
        <f>'Red Meat Slaughterhouse'!$D26*'Period RSL data'!$D4</f>
        <v>0</v>
      </c>
    </row>
    <row r="9" spans="1:15" x14ac:dyDescent="0.35">
      <c r="A9" s="106" t="s">
        <v>81</v>
      </c>
      <c r="B9" s="106" t="s">
        <v>25</v>
      </c>
      <c r="C9" s="111">
        <f>'Annual data (rates, Bands, disc'!B30</f>
        <v>64.800000000000011</v>
      </c>
      <c r="D9" s="123">
        <f>'Red Meat Slaughterhouse'!$D27*'Period RSL data'!D4</f>
        <v>0</v>
      </c>
      <c r="E9" s="123">
        <f>'Red Meat Slaughterhouse'!$D27*'Period RSL data'!E4</f>
        <v>0</v>
      </c>
      <c r="F9" s="123">
        <f>'Red Meat Slaughterhouse'!$D27*'Period RSL data'!F4</f>
        <v>0</v>
      </c>
      <c r="G9" s="123">
        <f>'Red Meat Slaughterhouse'!$D27*'Period RSL data'!G4</f>
        <v>0</v>
      </c>
      <c r="H9" s="123">
        <f>'Red Meat Slaughterhouse'!$D27*'Period RSL data'!H4</f>
        <v>0</v>
      </c>
      <c r="I9" s="123">
        <f>'Red Meat Slaughterhouse'!$D27*'Period RSL data'!I4</f>
        <v>0</v>
      </c>
      <c r="J9" s="123">
        <f>'Red Meat Slaughterhouse'!$D27*'Period RSL data'!J4</f>
        <v>0</v>
      </c>
      <c r="K9" s="123">
        <f>'Red Meat Slaughterhouse'!$D27*'Period RSL data'!K4</f>
        <v>0</v>
      </c>
      <c r="L9" s="123">
        <f>'Red Meat Slaughterhouse'!$D27*'Period RSL data'!L4</f>
        <v>0</v>
      </c>
      <c r="M9" s="123">
        <f>'Red Meat Slaughterhouse'!$D27*'Period RSL data'!M4</f>
        <v>0</v>
      </c>
      <c r="N9" s="123">
        <f>'Red Meat Slaughterhouse'!$D27*'Period RSL data'!N4</f>
        <v>0</v>
      </c>
      <c r="O9" s="123">
        <f>'Red Meat Slaughterhouse'!$D27*'Period RSL data'!O4</f>
        <v>0</v>
      </c>
    </row>
    <row r="10" spans="1:15" x14ac:dyDescent="0.35">
      <c r="A10" s="106" t="s">
        <v>81</v>
      </c>
      <c r="B10" s="106" t="s">
        <v>26</v>
      </c>
      <c r="C10" s="111">
        <f>'Annual data (rates, Bands, disc'!B31</f>
        <v>86.4</v>
      </c>
      <c r="D10" s="124">
        <f>'Red Meat Slaughterhouse'!$D28*'Period RSL data'!D4</f>
        <v>0</v>
      </c>
      <c r="E10" s="124">
        <f>'Red Meat Slaughterhouse'!$D28*'Period RSL data'!E4</f>
        <v>0</v>
      </c>
      <c r="F10" s="124">
        <f>'Red Meat Slaughterhouse'!$D28*'Period RSL data'!F4</f>
        <v>0</v>
      </c>
      <c r="G10" s="124">
        <f>'Red Meat Slaughterhouse'!$D28*'Period RSL data'!G4</f>
        <v>0</v>
      </c>
      <c r="H10" s="124">
        <f>'Red Meat Slaughterhouse'!$D28*'Period RSL data'!H4</f>
        <v>0</v>
      </c>
      <c r="I10" s="124">
        <f>'Red Meat Slaughterhouse'!$D28*'Period RSL data'!I4</f>
        <v>0</v>
      </c>
      <c r="J10" s="124">
        <f>'Red Meat Slaughterhouse'!$D28*'Period RSL data'!J4</f>
        <v>0</v>
      </c>
      <c r="K10" s="124">
        <f>'Red Meat Slaughterhouse'!$D28*'Period RSL data'!K4</f>
        <v>0</v>
      </c>
      <c r="L10" s="124">
        <f>'Red Meat Slaughterhouse'!$D28*'Period RSL data'!L4</f>
        <v>0</v>
      </c>
      <c r="M10" s="124">
        <f>'Red Meat Slaughterhouse'!$D28*'Period RSL data'!M4</f>
        <v>0</v>
      </c>
      <c r="N10" s="124">
        <f>'Red Meat Slaughterhouse'!$D28*'Period RSL data'!N4</f>
        <v>0</v>
      </c>
      <c r="O10" s="124">
        <f>'Red Meat Slaughterhouse'!$D28*'Period RSL data'!O4</f>
        <v>0</v>
      </c>
    </row>
    <row r="11" spans="1:15" ht="16" thickBot="1" x14ac:dyDescent="0.4">
      <c r="A11" s="106"/>
      <c r="B11" s="197" t="s">
        <v>28</v>
      </c>
      <c r="C11" s="198"/>
      <c r="D11" s="127">
        <f t="shared" ref="D11:O11" si="0">SUM(D5:D7)</f>
        <v>0</v>
      </c>
      <c r="E11" s="127">
        <f t="shared" si="0"/>
        <v>0</v>
      </c>
      <c r="F11" s="116">
        <f t="shared" si="0"/>
        <v>0</v>
      </c>
      <c r="G11" s="116">
        <f t="shared" si="0"/>
        <v>0</v>
      </c>
      <c r="H11" s="116">
        <f t="shared" si="0"/>
        <v>0</v>
      </c>
      <c r="I11" s="116">
        <f t="shared" si="0"/>
        <v>0</v>
      </c>
      <c r="J11" s="116">
        <f t="shared" si="0"/>
        <v>0</v>
      </c>
      <c r="K11" s="116">
        <f t="shared" si="0"/>
        <v>0</v>
      </c>
      <c r="L11" s="116">
        <f t="shared" si="0"/>
        <v>0</v>
      </c>
      <c r="M11" s="116">
        <f t="shared" si="0"/>
        <v>0</v>
      </c>
      <c r="N11" s="116">
        <f t="shared" si="0"/>
        <v>0</v>
      </c>
      <c r="O11" s="128">
        <f t="shared" si="0"/>
        <v>0</v>
      </c>
    </row>
    <row r="12" spans="1:15" ht="16.5" thickTop="1" thickBot="1" x14ac:dyDescent="0.4">
      <c r="A12" s="106"/>
      <c r="B12" s="197" t="s">
        <v>30</v>
      </c>
      <c r="C12" s="198"/>
      <c r="D12" s="127">
        <f t="shared" ref="D12:O12" si="1">SUM(D8:D10)</f>
        <v>0</v>
      </c>
      <c r="E12" s="127">
        <f t="shared" si="1"/>
        <v>0</v>
      </c>
      <c r="F12" s="127">
        <f t="shared" si="1"/>
        <v>0</v>
      </c>
      <c r="G12" s="127">
        <f t="shared" si="1"/>
        <v>0</v>
      </c>
      <c r="H12" s="127">
        <f t="shared" si="1"/>
        <v>0</v>
      </c>
      <c r="I12" s="127">
        <f t="shared" si="1"/>
        <v>0</v>
      </c>
      <c r="J12" s="127">
        <f t="shared" si="1"/>
        <v>0</v>
      </c>
      <c r="K12" s="127">
        <f t="shared" si="1"/>
        <v>0</v>
      </c>
      <c r="L12" s="127">
        <f t="shared" si="1"/>
        <v>0</v>
      </c>
      <c r="M12" s="127">
        <f t="shared" si="1"/>
        <v>0</v>
      </c>
      <c r="N12" s="127">
        <f t="shared" si="1"/>
        <v>0</v>
      </c>
      <c r="O12" s="127">
        <f t="shared" si="1"/>
        <v>0</v>
      </c>
    </row>
    <row r="13" spans="1:15" ht="16.5" thickTop="1" thickBot="1" x14ac:dyDescent="0.4">
      <c r="B13" s="197" t="s">
        <v>31</v>
      </c>
      <c r="C13" s="198"/>
      <c r="D13" s="129">
        <f t="shared" ref="D13:O13" si="2">D11+D12</f>
        <v>0</v>
      </c>
      <c r="E13" s="129">
        <f t="shared" si="2"/>
        <v>0</v>
      </c>
      <c r="F13" s="129">
        <f t="shared" si="2"/>
        <v>0</v>
      </c>
      <c r="G13" s="129">
        <f t="shared" si="2"/>
        <v>0</v>
      </c>
      <c r="H13" s="129">
        <f t="shared" si="2"/>
        <v>0</v>
      </c>
      <c r="I13" s="129">
        <f t="shared" si="2"/>
        <v>0</v>
      </c>
      <c r="J13" s="129">
        <f t="shared" si="2"/>
        <v>0</v>
      </c>
      <c r="K13" s="129">
        <f t="shared" si="2"/>
        <v>0</v>
      </c>
      <c r="L13" s="129">
        <f t="shared" si="2"/>
        <v>0</v>
      </c>
      <c r="M13" s="129">
        <f t="shared" si="2"/>
        <v>0</v>
      </c>
      <c r="N13" s="129">
        <f t="shared" si="2"/>
        <v>0</v>
      </c>
      <c r="O13" s="129">
        <f t="shared" si="2"/>
        <v>0</v>
      </c>
    </row>
    <row r="14" spans="1:15" ht="16" thickTop="1" x14ac:dyDescent="0.35"/>
    <row r="18" spans="2:15" x14ac:dyDescent="0.35">
      <c r="C18" t="s">
        <v>34</v>
      </c>
      <c r="D18" t="s">
        <v>68</v>
      </c>
      <c r="E18" t="s">
        <v>69</v>
      </c>
      <c r="F18" t="s">
        <v>70</v>
      </c>
      <c r="G18" t="s">
        <v>71</v>
      </c>
      <c r="H18" t="s">
        <v>72</v>
      </c>
      <c r="I18" t="s">
        <v>73</v>
      </c>
      <c r="J18" t="s">
        <v>74</v>
      </c>
      <c r="K18" t="s">
        <v>75</v>
      </c>
      <c r="L18" t="s">
        <v>76</v>
      </c>
      <c r="M18" t="s">
        <v>77</v>
      </c>
      <c r="N18" t="s">
        <v>78</v>
      </c>
      <c r="O18" t="s">
        <v>79</v>
      </c>
    </row>
    <row r="19" spans="2:15" x14ac:dyDescent="0.35">
      <c r="B19" s="106" t="s">
        <v>36</v>
      </c>
      <c r="C19" s="111">
        <f>'Annual data (rates, Bands, disc'!C12</f>
        <v>38.35</v>
      </c>
      <c r="D19" s="32">
        <f>'Red Meat Slaughterhouse'!$D34*'Period RSL data'!D$4</f>
        <v>0</v>
      </c>
      <c r="E19" s="32">
        <f>'Red Meat Slaughterhouse'!$D34*'Period RSL data'!E$4</f>
        <v>0</v>
      </c>
      <c r="F19" s="32">
        <f>'Red Meat Slaughterhouse'!$D34*'Period RSL data'!F$4</f>
        <v>0</v>
      </c>
      <c r="G19" s="32">
        <f>'Red Meat Slaughterhouse'!$D34*'Period RSL data'!G$4</f>
        <v>0</v>
      </c>
      <c r="H19" s="32">
        <f>'Red Meat Slaughterhouse'!$D34*'Period RSL data'!H$4</f>
        <v>0</v>
      </c>
      <c r="I19" s="32">
        <f>'Red Meat Slaughterhouse'!$D34*'Period RSL data'!I$4</f>
        <v>0</v>
      </c>
      <c r="J19" s="32">
        <f>'Red Meat Slaughterhouse'!$D34*'Period RSL data'!J$4</f>
        <v>0</v>
      </c>
      <c r="K19" s="32">
        <f>'Red Meat Slaughterhouse'!$D34*'Period RSL data'!K$4</f>
        <v>0</v>
      </c>
      <c r="L19" s="32">
        <f>'Red Meat Slaughterhouse'!$D34*'Period RSL data'!L$4</f>
        <v>0</v>
      </c>
      <c r="M19" s="32">
        <f>'Red Meat Slaughterhouse'!$D34*'Period RSL data'!M$4</f>
        <v>0</v>
      </c>
      <c r="N19" s="32">
        <f>'Red Meat Slaughterhouse'!$D34*'Period RSL data'!N$4</f>
        <v>0</v>
      </c>
      <c r="O19" s="32">
        <f>'Red Meat Slaughterhouse'!$D34*'Period RSL data'!O$4</f>
        <v>0</v>
      </c>
    </row>
    <row r="20" spans="2:15" x14ac:dyDescent="0.35">
      <c r="B20" s="106" t="s">
        <v>38</v>
      </c>
      <c r="C20" s="111">
        <f>'Annual data (rates, Bands, disc'!C13</f>
        <v>130.9</v>
      </c>
      <c r="D20" s="32">
        <f>'Red Meat Slaughterhouse'!$D35*'Period RSL data'!D$4</f>
        <v>0</v>
      </c>
      <c r="E20" s="32">
        <f>'Red Meat Slaughterhouse'!$D35*'Period RSL data'!E$4</f>
        <v>0</v>
      </c>
      <c r="F20" s="32">
        <f>'Red Meat Slaughterhouse'!$D35*'Period RSL data'!F$4</f>
        <v>0</v>
      </c>
      <c r="G20" s="32">
        <f>'Red Meat Slaughterhouse'!$D35*'Period RSL data'!G$4</f>
        <v>0</v>
      </c>
      <c r="H20" s="32">
        <f>'Red Meat Slaughterhouse'!$D35*'Period RSL data'!H$4</f>
        <v>0</v>
      </c>
      <c r="I20" s="32">
        <f>'Red Meat Slaughterhouse'!$D35*'Period RSL data'!I$4</f>
        <v>0</v>
      </c>
      <c r="J20" s="32">
        <f>'Red Meat Slaughterhouse'!$D35*'Period RSL data'!J$4</f>
        <v>0</v>
      </c>
      <c r="K20" s="32">
        <f>'Red Meat Slaughterhouse'!$D35*'Period RSL data'!K$4</f>
        <v>0</v>
      </c>
      <c r="L20" s="32">
        <f>'Red Meat Slaughterhouse'!$D35*'Period RSL data'!L$4</f>
        <v>0</v>
      </c>
      <c r="M20" s="32">
        <f>'Red Meat Slaughterhouse'!$D35*'Period RSL data'!M$4</f>
        <v>0</v>
      </c>
      <c r="N20" s="32">
        <f>'Red Meat Slaughterhouse'!$D35*'Period RSL data'!N$4</f>
        <v>0</v>
      </c>
      <c r="O20" s="32">
        <f>'Red Meat Slaughterhouse'!$D35*'Period RSL data'!O$4</f>
        <v>0</v>
      </c>
    </row>
    <row r="21" spans="2:15" x14ac:dyDescent="0.35">
      <c r="B21" s="106" t="s">
        <v>39</v>
      </c>
      <c r="C21" s="111">
        <f>'Annual data (rates, Bands, disc'!C14</f>
        <v>130.9</v>
      </c>
      <c r="D21" s="32">
        <f>'Red Meat Slaughterhouse'!$D36*'Period RSL data'!D$4</f>
        <v>0</v>
      </c>
      <c r="E21" s="32">
        <f>'Red Meat Slaughterhouse'!$D36*'Period RSL data'!E$4</f>
        <v>0</v>
      </c>
      <c r="F21" s="32">
        <f>'Red Meat Slaughterhouse'!$D36*'Period RSL data'!F$4</f>
        <v>0</v>
      </c>
      <c r="G21" s="32">
        <f>'Red Meat Slaughterhouse'!$D36*'Period RSL data'!G$4</f>
        <v>0</v>
      </c>
      <c r="H21" s="32">
        <f>'Red Meat Slaughterhouse'!$D36*'Period RSL data'!H$4</f>
        <v>0</v>
      </c>
      <c r="I21" s="32">
        <f>'Red Meat Slaughterhouse'!$D36*'Period RSL data'!I$4</f>
        <v>0</v>
      </c>
      <c r="J21" s="32">
        <f>'Red Meat Slaughterhouse'!$D36*'Period RSL data'!J$4</f>
        <v>0</v>
      </c>
      <c r="K21" s="32">
        <f>'Red Meat Slaughterhouse'!$D36*'Period RSL data'!K$4</f>
        <v>0</v>
      </c>
      <c r="L21" s="32">
        <f>'Red Meat Slaughterhouse'!$D36*'Period RSL data'!L$4</f>
        <v>0</v>
      </c>
      <c r="M21" s="32">
        <f>'Red Meat Slaughterhouse'!$D36*'Period RSL data'!M$4</f>
        <v>0</v>
      </c>
      <c r="N21" s="32">
        <f>'Red Meat Slaughterhouse'!$D36*'Period RSL data'!N$4</f>
        <v>0</v>
      </c>
      <c r="O21" s="32">
        <f>'Red Meat Slaughterhouse'!$D36*'Period RSL data'!O$4</f>
        <v>0</v>
      </c>
    </row>
    <row r="22" spans="2:15" x14ac:dyDescent="0.35">
      <c r="B22" s="106" t="s">
        <v>42</v>
      </c>
      <c r="C22" s="111">
        <f>'Annual data (rates, Bands, disc'!C15</f>
        <v>62.05</v>
      </c>
      <c r="D22" s="32">
        <f>'Red Meat Slaughterhouse'!$D37*'Period RSL data'!D$4</f>
        <v>0</v>
      </c>
      <c r="E22" s="32">
        <f>'Red Meat Slaughterhouse'!$D37*'Period RSL data'!E$4</f>
        <v>0</v>
      </c>
      <c r="F22" s="32">
        <f>'Red Meat Slaughterhouse'!$D37*'Period RSL data'!F$4</f>
        <v>0</v>
      </c>
      <c r="G22" s="32">
        <f>'Red Meat Slaughterhouse'!$D37*'Period RSL data'!G$4</f>
        <v>0</v>
      </c>
      <c r="H22" s="32">
        <f>'Red Meat Slaughterhouse'!$D37*'Period RSL data'!H$4</f>
        <v>0</v>
      </c>
      <c r="I22" s="32">
        <f>'Red Meat Slaughterhouse'!$D37*'Period RSL data'!I$4</f>
        <v>0</v>
      </c>
      <c r="J22" s="32">
        <f>'Red Meat Slaughterhouse'!$D37*'Period RSL data'!J$4</f>
        <v>0</v>
      </c>
      <c r="K22" s="32">
        <f>'Red Meat Slaughterhouse'!$D37*'Period RSL data'!K$4</f>
        <v>0</v>
      </c>
      <c r="L22" s="32">
        <f>'Red Meat Slaughterhouse'!$D37*'Period RSL data'!L$4</f>
        <v>0</v>
      </c>
      <c r="M22" s="32">
        <f>'Red Meat Slaughterhouse'!$D37*'Period RSL data'!M$4</f>
        <v>0</v>
      </c>
      <c r="N22" s="32">
        <f>'Red Meat Slaughterhouse'!$D37*'Period RSL data'!N$4</f>
        <v>0</v>
      </c>
      <c r="O22" s="32">
        <f>'Red Meat Slaughterhouse'!$D37*'Period RSL data'!O$4</f>
        <v>0</v>
      </c>
    </row>
    <row r="23" spans="2:15" x14ac:dyDescent="0.35">
      <c r="B23" s="106" t="s">
        <v>44</v>
      </c>
      <c r="C23" s="111">
        <f>'Annual data (rates, Bands, disc'!C16</f>
        <v>39.700000000000003</v>
      </c>
      <c r="D23" s="32">
        <f>'Red Meat Slaughterhouse'!$D38*'Period RSL data'!D$4</f>
        <v>0</v>
      </c>
      <c r="E23" s="32">
        <f>'Red Meat Slaughterhouse'!$D38*'Period RSL data'!E$4</f>
        <v>0</v>
      </c>
      <c r="F23" s="32">
        <f>'Red Meat Slaughterhouse'!$D38*'Period RSL data'!F$4</f>
        <v>0</v>
      </c>
      <c r="G23" s="32">
        <f>'Red Meat Slaughterhouse'!$D38*'Period RSL data'!G$4</f>
        <v>0</v>
      </c>
      <c r="H23" s="32">
        <f>'Red Meat Slaughterhouse'!$D38*'Period RSL data'!H$4</f>
        <v>0</v>
      </c>
      <c r="I23" s="32">
        <f>'Red Meat Slaughterhouse'!$D38*'Period RSL data'!I$4</f>
        <v>0</v>
      </c>
      <c r="J23" s="32">
        <f>'Red Meat Slaughterhouse'!$D38*'Period RSL data'!J$4</f>
        <v>0</v>
      </c>
      <c r="K23" s="32">
        <f>'Red Meat Slaughterhouse'!$D38*'Period RSL data'!K$4</f>
        <v>0</v>
      </c>
      <c r="L23" s="32">
        <f>'Red Meat Slaughterhouse'!$D38*'Period RSL data'!L$4</f>
        <v>0</v>
      </c>
      <c r="M23" s="32">
        <f>'Red Meat Slaughterhouse'!$D38*'Period RSL data'!M$4</f>
        <v>0</v>
      </c>
      <c r="N23" s="32">
        <f>'Red Meat Slaughterhouse'!$D38*'Period RSL data'!N$4</f>
        <v>0</v>
      </c>
      <c r="O23" s="32">
        <f>'Red Meat Slaughterhouse'!$D38*'Period RSL data'!O$4</f>
        <v>0</v>
      </c>
    </row>
    <row r="24" spans="2:15" x14ac:dyDescent="0.35">
      <c r="B24" s="106" t="s">
        <v>46</v>
      </c>
      <c r="C24" s="111">
        <f>'Annual data (rates, Bands, disc'!C17</f>
        <v>21.25</v>
      </c>
      <c r="D24" s="32">
        <f>'Red Meat Slaughterhouse'!$D39*'Period RSL data'!D$4</f>
        <v>0</v>
      </c>
      <c r="E24" s="32">
        <f>'Red Meat Slaughterhouse'!$D39*'Period RSL data'!E$4</f>
        <v>0</v>
      </c>
      <c r="F24" s="32">
        <f>'Red Meat Slaughterhouse'!$D39*'Period RSL data'!F$4</f>
        <v>0</v>
      </c>
      <c r="G24" s="32">
        <f>'Red Meat Slaughterhouse'!$D39*'Period RSL data'!G$4</f>
        <v>0</v>
      </c>
      <c r="H24" s="32">
        <f>'Red Meat Slaughterhouse'!$D39*'Period RSL data'!H$4</f>
        <v>0</v>
      </c>
      <c r="I24" s="32">
        <f>'Red Meat Slaughterhouse'!$D39*'Period RSL data'!I$4</f>
        <v>0</v>
      </c>
      <c r="J24" s="32">
        <f>'Red Meat Slaughterhouse'!$D39*'Period RSL data'!J$4</f>
        <v>0</v>
      </c>
      <c r="K24" s="32">
        <f>'Red Meat Slaughterhouse'!$D39*'Period RSL data'!K$4</f>
        <v>0</v>
      </c>
      <c r="L24" s="32">
        <f>'Red Meat Slaughterhouse'!$D39*'Period RSL data'!L$4</f>
        <v>0</v>
      </c>
      <c r="M24" s="32">
        <f>'Red Meat Slaughterhouse'!$D39*'Period RSL data'!M$4</f>
        <v>0</v>
      </c>
      <c r="N24" s="32">
        <f>'Red Meat Slaughterhouse'!$D39*'Period RSL data'!N$4</f>
        <v>0</v>
      </c>
      <c r="O24" s="32">
        <f>'Red Meat Slaughterhouse'!$D39*'Period RSL data'!O$4</f>
        <v>0</v>
      </c>
    </row>
    <row r="25" spans="2:15" x14ac:dyDescent="0.35">
      <c r="B25" s="106" t="s">
        <v>47</v>
      </c>
      <c r="C25" s="111">
        <f>'Annual data (rates, Bands, disc'!C18</f>
        <v>39.700000000000003</v>
      </c>
      <c r="D25" s="32">
        <f>'Red Meat Slaughterhouse'!$D40*'Period RSL data'!D$4</f>
        <v>0</v>
      </c>
      <c r="E25" s="32">
        <f>'Red Meat Slaughterhouse'!$D40*'Period RSL data'!E$4</f>
        <v>0</v>
      </c>
      <c r="F25" s="32">
        <f>'Red Meat Slaughterhouse'!$D40*'Period RSL data'!F$4</f>
        <v>0</v>
      </c>
      <c r="G25" s="32">
        <f>'Red Meat Slaughterhouse'!$D40*'Period RSL data'!G$4</f>
        <v>0</v>
      </c>
      <c r="H25" s="32">
        <f>'Red Meat Slaughterhouse'!$D40*'Period RSL data'!H$4</f>
        <v>0</v>
      </c>
      <c r="I25" s="32">
        <f>'Red Meat Slaughterhouse'!$D40*'Period RSL data'!I$4</f>
        <v>0</v>
      </c>
      <c r="J25" s="32">
        <f>'Red Meat Slaughterhouse'!$D40*'Period RSL data'!J$4</f>
        <v>0</v>
      </c>
      <c r="K25" s="32">
        <f>'Red Meat Slaughterhouse'!$D40*'Period RSL data'!K$4</f>
        <v>0</v>
      </c>
      <c r="L25" s="32">
        <f>'Red Meat Slaughterhouse'!$D40*'Period RSL data'!L$4</f>
        <v>0</v>
      </c>
      <c r="M25" s="32">
        <f>'Red Meat Slaughterhouse'!$D40*'Period RSL data'!M$4</f>
        <v>0</v>
      </c>
      <c r="N25" s="32">
        <f>'Red Meat Slaughterhouse'!$D40*'Period RSL data'!N$4</f>
        <v>0</v>
      </c>
      <c r="O25" s="32">
        <f>'Red Meat Slaughterhouse'!$D40*'Period RSL data'!O$4</f>
        <v>0</v>
      </c>
    </row>
    <row r="26" spans="2:15" x14ac:dyDescent="0.35">
      <c r="B26" s="106" t="s">
        <v>48</v>
      </c>
      <c r="C26" s="111">
        <f>'Annual data (rates, Bands, disc'!C19</f>
        <v>21.25</v>
      </c>
      <c r="D26" s="32">
        <f>'Red Meat Slaughterhouse'!$D41*'Period RSL data'!D$4</f>
        <v>0</v>
      </c>
      <c r="E26" s="32">
        <f>'Red Meat Slaughterhouse'!$D41*'Period RSL data'!E$4</f>
        <v>0</v>
      </c>
      <c r="F26" s="32">
        <f>'Red Meat Slaughterhouse'!$D41*'Period RSL data'!F$4</f>
        <v>0</v>
      </c>
      <c r="G26" s="32">
        <f>'Red Meat Slaughterhouse'!$D41*'Period RSL data'!G$4</f>
        <v>0</v>
      </c>
      <c r="H26" s="32">
        <f>'Red Meat Slaughterhouse'!$D41*'Period RSL data'!H$4</f>
        <v>0</v>
      </c>
      <c r="I26" s="32">
        <f>'Red Meat Slaughterhouse'!$D41*'Period RSL data'!I$4</f>
        <v>0</v>
      </c>
      <c r="J26" s="32">
        <f>'Red Meat Slaughterhouse'!$D41*'Period RSL data'!J$4</f>
        <v>0</v>
      </c>
      <c r="K26" s="32">
        <f>'Red Meat Slaughterhouse'!$D41*'Period RSL data'!K$4</f>
        <v>0</v>
      </c>
      <c r="L26" s="32">
        <f>'Red Meat Slaughterhouse'!$D41*'Period RSL data'!L$4</f>
        <v>0</v>
      </c>
      <c r="M26" s="32">
        <f>'Red Meat Slaughterhouse'!$D41*'Period RSL data'!M$4</f>
        <v>0</v>
      </c>
      <c r="N26" s="32">
        <f>'Red Meat Slaughterhouse'!$D41*'Period RSL data'!N$4</f>
        <v>0</v>
      </c>
      <c r="O26" s="32">
        <f>'Red Meat Slaughterhouse'!$D41*'Period RSL data'!O$4</f>
        <v>0</v>
      </c>
    </row>
    <row r="27" spans="2:15" x14ac:dyDescent="0.35">
      <c r="B27" s="106" t="s">
        <v>158</v>
      </c>
      <c r="C27" s="111">
        <f>'Annual data (rates, Bands, disc'!C20</f>
        <v>21.25</v>
      </c>
      <c r="D27" s="32">
        <f>'Red Meat Slaughterhouse'!$D42*'Period RSL data'!D$4</f>
        <v>0</v>
      </c>
      <c r="E27" s="32">
        <f>'Red Meat Slaughterhouse'!$D42*'Period RSL data'!E$4</f>
        <v>0</v>
      </c>
      <c r="F27" s="32">
        <f>'Red Meat Slaughterhouse'!$D42*'Period RSL data'!F$4</f>
        <v>0</v>
      </c>
      <c r="G27" s="32">
        <f>'Red Meat Slaughterhouse'!$D42*'Period RSL data'!G$4</f>
        <v>0</v>
      </c>
      <c r="H27" s="32">
        <f>'Red Meat Slaughterhouse'!$D42*'Period RSL data'!H$4</f>
        <v>0</v>
      </c>
      <c r="I27" s="32">
        <f>'Red Meat Slaughterhouse'!$D42*'Period RSL data'!I$4</f>
        <v>0</v>
      </c>
      <c r="J27" s="32">
        <f>'Red Meat Slaughterhouse'!$D42*'Period RSL data'!J$4</f>
        <v>0</v>
      </c>
      <c r="K27" s="32">
        <f>'Red Meat Slaughterhouse'!$D42*'Period RSL data'!K$4</f>
        <v>0</v>
      </c>
      <c r="L27" s="32">
        <f>'Red Meat Slaughterhouse'!$D42*'Period RSL data'!L$4</f>
        <v>0</v>
      </c>
      <c r="M27" s="32">
        <f>'Red Meat Slaughterhouse'!$D42*'Period RSL data'!M$4</f>
        <v>0</v>
      </c>
      <c r="N27" s="32">
        <f>'Red Meat Slaughterhouse'!$D42*'Period RSL data'!N$4</f>
        <v>0</v>
      </c>
      <c r="O27" s="32">
        <f>'Red Meat Slaughterhouse'!$D42*'Period RSL data'!O$4</f>
        <v>0</v>
      </c>
    </row>
    <row r="28" spans="2:15" x14ac:dyDescent="0.35">
      <c r="B28" s="106" t="s">
        <v>138</v>
      </c>
      <c r="C28" s="111">
        <f>'Annual data (rates, Bands, disc'!C21</f>
        <v>450</v>
      </c>
      <c r="D28" s="32">
        <f>'Red Meat Slaughterhouse'!$D43*'Period RSL data'!D$4</f>
        <v>0</v>
      </c>
      <c r="E28" s="32">
        <f>'Red Meat Slaughterhouse'!$D43*'Period RSL data'!E$4</f>
        <v>0</v>
      </c>
      <c r="F28" s="32">
        <f>'Red Meat Slaughterhouse'!$D43*'Period RSL data'!F$4</f>
        <v>0</v>
      </c>
      <c r="G28" s="32">
        <f>'Red Meat Slaughterhouse'!$D43*'Period RSL data'!G$4</f>
        <v>0</v>
      </c>
      <c r="H28" s="32">
        <f>'Red Meat Slaughterhouse'!$D43*'Period RSL data'!H$4</f>
        <v>0</v>
      </c>
      <c r="I28" s="32">
        <f>'Red Meat Slaughterhouse'!$D43*'Period RSL data'!I$4</f>
        <v>0</v>
      </c>
      <c r="J28" s="32">
        <f>'Red Meat Slaughterhouse'!$D43*'Period RSL data'!J$4</f>
        <v>0</v>
      </c>
      <c r="K28" s="32">
        <f>'Red Meat Slaughterhouse'!$D43*'Period RSL data'!K$4</f>
        <v>0</v>
      </c>
      <c r="L28" s="32">
        <f>'Red Meat Slaughterhouse'!$D43*'Period RSL data'!L$4</f>
        <v>0</v>
      </c>
      <c r="M28" s="32">
        <f>'Red Meat Slaughterhouse'!$D43*'Period RSL data'!M$4</f>
        <v>0</v>
      </c>
      <c r="N28" s="32">
        <f>'Red Meat Slaughterhouse'!$D43*'Period RSL data'!N$4</f>
        <v>0</v>
      </c>
      <c r="O28" s="32">
        <f>'Red Meat Slaughterhouse'!$D43*'Period RSL data'!O$4</f>
        <v>0</v>
      </c>
    </row>
    <row r="29" spans="2:15" x14ac:dyDescent="0.35">
      <c r="B29" s="106" t="s">
        <v>140</v>
      </c>
      <c r="C29" s="111">
        <f>'Annual data (rates, Bands, disc'!C22</f>
        <v>175</v>
      </c>
      <c r="D29" s="32">
        <f>'Red Meat Slaughterhouse'!$D44*'Period RSL data'!D$4</f>
        <v>0</v>
      </c>
      <c r="E29" s="32">
        <f>'Red Meat Slaughterhouse'!$D44*'Period RSL data'!E$4</f>
        <v>0</v>
      </c>
      <c r="F29" s="32">
        <f>'Red Meat Slaughterhouse'!$D44*'Period RSL data'!F$4</f>
        <v>0</v>
      </c>
      <c r="G29" s="32">
        <f>'Red Meat Slaughterhouse'!$D44*'Period RSL data'!G$4</f>
        <v>0</v>
      </c>
      <c r="H29" s="32">
        <f>'Red Meat Slaughterhouse'!$D44*'Period RSL data'!H$4</f>
        <v>0</v>
      </c>
      <c r="I29" s="32">
        <f>'Red Meat Slaughterhouse'!$D44*'Period RSL data'!I$4</f>
        <v>0</v>
      </c>
      <c r="J29" s="32">
        <f>'Red Meat Slaughterhouse'!$D44*'Period RSL data'!J$4</f>
        <v>0</v>
      </c>
      <c r="K29" s="32">
        <f>'Red Meat Slaughterhouse'!$D44*'Period RSL data'!K$4</f>
        <v>0</v>
      </c>
      <c r="L29" s="32">
        <f>'Red Meat Slaughterhouse'!$D44*'Period RSL data'!L$4</f>
        <v>0</v>
      </c>
      <c r="M29" s="32">
        <f>'Red Meat Slaughterhouse'!$D44*'Period RSL data'!M$4</f>
        <v>0</v>
      </c>
      <c r="N29" s="32">
        <f>'Red Meat Slaughterhouse'!$D44*'Period RSL data'!N$4</f>
        <v>0</v>
      </c>
      <c r="O29" s="32">
        <f>'Red Meat Slaughterhouse'!$D44*'Period RSL data'!O$4</f>
        <v>0</v>
      </c>
    </row>
    <row r="30" spans="2:15" x14ac:dyDescent="0.35">
      <c r="C30" s="106" t="s">
        <v>82</v>
      </c>
      <c r="D30" s="111">
        <f>(D19*$C19)+(D20*$C20)+(D21*$C21)+(D22*$C22)+(D23*$C23)+(D24*$C24)+(D25*$C25)+(D26*$C26)+(D27*$C27)+(D28*$C$28)+(D29*$C$29)</f>
        <v>0</v>
      </c>
      <c r="E30" s="111">
        <f t="shared" ref="E30:O30" si="3">(E19*$C19)+(E20*$C20)+(E21*$C21)+(E22*$C22)+(E23*$C23)+(E24*$C24)+(E25*$C25)+(E26*$C26)+(E27*$C27)+(E28*$C$28)+(E29*$C$29)</f>
        <v>0</v>
      </c>
      <c r="F30" s="111">
        <f t="shared" si="3"/>
        <v>0</v>
      </c>
      <c r="G30" s="111">
        <f t="shared" si="3"/>
        <v>0</v>
      </c>
      <c r="H30" s="111">
        <f t="shared" si="3"/>
        <v>0</v>
      </c>
      <c r="I30" s="111">
        <f t="shared" si="3"/>
        <v>0</v>
      </c>
      <c r="J30" s="111">
        <f t="shared" si="3"/>
        <v>0</v>
      </c>
      <c r="K30" s="111">
        <f t="shared" si="3"/>
        <v>0</v>
      </c>
      <c r="L30" s="111">
        <f t="shared" si="3"/>
        <v>0</v>
      </c>
      <c r="M30" s="111">
        <f t="shared" si="3"/>
        <v>0</v>
      </c>
      <c r="N30" s="111">
        <f t="shared" si="3"/>
        <v>0</v>
      </c>
      <c r="O30" s="111">
        <f t="shared" si="3"/>
        <v>0</v>
      </c>
    </row>
    <row r="31" spans="2:15" x14ac:dyDescent="0.35">
      <c r="C31" s="106" t="s">
        <v>83</v>
      </c>
      <c r="D31" s="111">
        <f>D30*0.5</f>
        <v>0</v>
      </c>
      <c r="E31" s="111">
        <f t="shared" ref="E31:O31" si="4">E30*0.5</f>
        <v>0</v>
      </c>
      <c r="F31" s="111">
        <f t="shared" si="4"/>
        <v>0</v>
      </c>
      <c r="G31" s="111">
        <f t="shared" si="4"/>
        <v>0</v>
      </c>
      <c r="H31" s="111">
        <f t="shared" si="4"/>
        <v>0</v>
      </c>
      <c r="I31" s="111">
        <f t="shared" si="4"/>
        <v>0</v>
      </c>
      <c r="J31" s="111">
        <f t="shared" si="4"/>
        <v>0</v>
      </c>
      <c r="K31" s="111">
        <f t="shared" si="4"/>
        <v>0</v>
      </c>
      <c r="L31" s="111">
        <f t="shared" si="4"/>
        <v>0</v>
      </c>
      <c r="M31" s="111">
        <f t="shared" si="4"/>
        <v>0</v>
      </c>
      <c r="N31" s="111">
        <f t="shared" si="4"/>
        <v>0</v>
      </c>
      <c r="O31" s="111">
        <f t="shared" si="4"/>
        <v>0</v>
      </c>
    </row>
    <row r="32" spans="2:15" x14ac:dyDescent="0.35">
      <c r="C32" s="106" t="s">
        <v>84</v>
      </c>
      <c r="D32" s="111">
        <f>D30-D31</f>
        <v>0</v>
      </c>
      <c r="E32" s="111">
        <f t="shared" ref="E32:O32" si="5">E30-E31</f>
        <v>0</v>
      </c>
      <c r="F32" s="111">
        <f t="shared" si="5"/>
        <v>0</v>
      </c>
      <c r="G32" s="111">
        <f t="shared" si="5"/>
        <v>0</v>
      </c>
      <c r="H32" s="111">
        <f t="shared" si="5"/>
        <v>0</v>
      </c>
      <c r="I32" s="111">
        <f t="shared" si="5"/>
        <v>0</v>
      </c>
      <c r="J32" s="111">
        <f t="shared" si="5"/>
        <v>0</v>
      </c>
      <c r="K32" s="111">
        <f t="shared" si="5"/>
        <v>0</v>
      </c>
      <c r="L32" s="111">
        <f t="shared" si="5"/>
        <v>0</v>
      </c>
      <c r="M32" s="111">
        <f t="shared" si="5"/>
        <v>0</v>
      </c>
      <c r="N32" s="111">
        <f t="shared" si="5"/>
        <v>0</v>
      </c>
      <c r="O32" s="111">
        <f t="shared" si="5"/>
        <v>0</v>
      </c>
    </row>
  </sheetData>
  <sheetProtection algorithmName="SHA-512" hashValue="dmWKHwU9awmW/aNprjq+5wcaTsrCxtvA4jTZmoJMWFiOWHz6kBhNwSJx6kFiy3ivbq9MkxP9eiEQqBjsN7Dftw==" saltValue="XqbGYv7zs41SDLlhGmCTFg==" spinCount="100000" sheet="1" objects="1" scenarios="1"/>
  <mergeCells count="3">
    <mergeCell ref="B11:C11"/>
    <mergeCell ref="B12:C12"/>
    <mergeCell ref="B13:C13"/>
  </mergeCells>
  <pageMargins left="0.7" right="0.7" top="0.75" bottom="0.75" header="0.3" footer="0.3"/>
  <pageSetup paperSize="9" orientation="landscape" r:id="rId1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5" tint="0.59999389629810485"/>
  </sheetPr>
  <dimension ref="A1:AD48"/>
  <sheetViews>
    <sheetView zoomScaleNormal="100" workbookViewId="0">
      <selection activeCell="C5" sqref="C5"/>
    </sheetView>
  </sheetViews>
  <sheetFormatPr defaultRowHeight="15.5" x14ac:dyDescent="0.35"/>
  <cols>
    <col min="1" max="1" width="4.07421875" customWidth="1"/>
    <col min="2" max="2" width="6.84375" bestFit="1" customWidth="1"/>
    <col min="3" max="5" width="6.53515625" customWidth="1"/>
    <col min="6" max="6" width="5.84375" customWidth="1"/>
    <col min="7" max="7" width="7.4609375" customWidth="1"/>
    <col min="8" max="8" width="6.07421875" bestFit="1" customWidth="1"/>
    <col min="9" max="9" width="7.4609375" bestFit="1" customWidth="1"/>
    <col min="10" max="10" width="6.07421875" bestFit="1" customWidth="1"/>
    <col min="11" max="11" width="7.4609375" style="16" bestFit="1" customWidth="1"/>
    <col min="12" max="12" width="6.07421875" bestFit="1" customWidth="1"/>
    <col min="13" max="13" width="8.4609375" customWidth="1"/>
    <col min="14" max="14" width="6.07421875" bestFit="1" customWidth="1"/>
    <col min="15" max="15" width="7.4609375" bestFit="1" customWidth="1"/>
    <col min="16" max="16" width="6.07421875" bestFit="1" customWidth="1"/>
    <col min="17" max="17" width="5.53515625" bestFit="1" customWidth="1"/>
    <col min="18" max="18" width="6.07421875" bestFit="1" customWidth="1"/>
    <col min="19" max="19" width="6.69140625" bestFit="1" customWidth="1"/>
    <col min="20" max="29" width="6.07421875" bestFit="1" customWidth="1"/>
  </cols>
  <sheetData>
    <row r="1" spans="1:30" x14ac:dyDescent="0.35">
      <c r="A1" s="8" t="s">
        <v>85</v>
      </c>
    </row>
    <row r="3" spans="1:30" s="41" customFormat="1" ht="13" x14ac:dyDescent="0.3">
      <c r="A3" s="106"/>
      <c r="B3" s="106"/>
      <c r="C3" s="106"/>
      <c r="D3" s="106"/>
      <c r="E3" s="106"/>
      <c r="F3" s="202" t="s">
        <v>86</v>
      </c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4"/>
      <c r="AD3" s="106"/>
    </row>
    <row r="4" spans="1:30" s="41" customFormat="1" ht="12.75" customHeight="1" x14ac:dyDescent="0.25">
      <c r="A4" s="205" t="s">
        <v>87</v>
      </c>
      <c r="B4" s="205" t="s">
        <v>83</v>
      </c>
      <c r="C4" s="4"/>
      <c r="D4" s="4"/>
      <c r="E4" s="205" t="s">
        <v>88</v>
      </c>
      <c r="F4" s="209" t="s">
        <v>89</v>
      </c>
      <c r="G4" s="209"/>
      <c r="H4" s="210" t="s">
        <v>90</v>
      </c>
      <c r="I4" s="210"/>
      <c r="J4" s="201" t="s">
        <v>91</v>
      </c>
      <c r="K4" s="201"/>
      <c r="L4" s="201" t="s">
        <v>92</v>
      </c>
      <c r="M4" s="201"/>
      <c r="N4" s="201" t="s">
        <v>93</v>
      </c>
      <c r="O4" s="201"/>
      <c r="P4" s="201" t="s">
        <v>94</v>
      </c>
      <c r="Q4" s="201"/>
      <c r="R4" s="201" t="s">
        <v>95</v>
      </c>
      <c r="S4" s="201"/>
      <c r="T4" s="201" t="s">
        <v>96</v>
      </c>
      <c r="U4" s="201"/>
      <c r="V4" s="201" t="s">
        <v>97</v>
      </c>
      <c r="W4" s="201"/>
      <c r="X4" s="201" t="s">
        <v>98</v>
      </c>
      <c r="Y4" s="201"/>
      <c r="Z4" s="201" t="s">
        <v>99</v>
      </c>
      <c r="AA4" s="201"/>
      <c r="AB4" s="201" t="s">
        <v>100</v>
      </c>
      <c r="AC4" s="201"/>
      <c r="AD4" s="106"/>
    </row>
    <row r="5" spans="1:30" ht="21" x14ac:dyDescent="0.35">
      <c r="A5" s="206"/>
      <c r="B5" s="206"/>
      <c r="C5" s="5" t="s">
        <v>19</v>
      </c>
      <c r="D5" s="5" t="s">
        <v>102</v>
      </c>
      <c r="E5" s="206"/>
      <c r="F5" s="1" t="s">
        <v>103</v>
      </c>
      <c r="G5" s="1" t="s">
        <v>104</v>
      </c>
      <c r="H5" s="1" t="s">
        <v>103</v>
      </c>
      <c r="I5" s="1" t="s">
        <v>104</v>
      </c>
      <c r="J5" s="1" t="s">
        <v>103</v>
      </c>
      <c r="K5" s="1" t="s">
        <v>104</v>
      </c>
      <c r="L5" s="1" t="s">
        <v>103</v>
      </c>
      <c r="M5" s="1" t="s">
        <v>104</v>
      </c>
      <c r="N5" s="1" t="s">
        <v>103</v>
      </c>
      <c r="O5" s="1" t="s">
        <v>104</v>
      </c>
      <c r="P5" s="1" t="s">
        <v>103</v>
      </c>
      <c r="Q5" s="1" t="s">
        <v>104</v>
      </c>
      <c r="R5" s="1" t="s">
        <v>103</v>
      </c>
      <c r="S5" s="1" t="s">
        <v>104</v>
      </c>
      <c r="T5" s="1" t="s">
        <v>103</v>
      </c>
      <c r="U5" s="1" t="s">
        <v>105</v>
      </c>
      <c r="V5" s="1" t="s">
        <v>103</v>
      </c>
      <c r="W5" s="1" t="s">
        <v>104</v>
      </c>
      <c r="X5" s="1" t="s">
        <v>103</v>
      </c>
      <c r="Y5" s="1" t="s">
        <v>104</v>
      </c>
      <c r="Z5" s="1" t="s">
        <v>103</v>
      </c>
      <c r="AA5" s="1" t="s">
        <v>104</v>
      </c>
      <c r="AB5" s="1" t="s">
        <v>103</v>
      </c>
      <c r="AC5" s="1" t="s">
        <v>104</v>
      </c>
    </row>
    <row r="6" spans="1:30" x14ac:dyDescent="0.35">
      <c r="A6" s="131">
        <v>1</v>
      </c>
      <c r="B6" s="156">
        <f>'Annual data (rates, Bands, disc'!E3</f>
        <v>0.9</v>
      </c>
      <c r="C6" s="22" t="s">
        <v>106</v>
      </c>
      <c r="D6" s="11">
        <f>'Period RSL data'!C5</f>
        <v>65.900000000000006</v>
      </c>
      <c r="E6" s="11">
        <f t="shared" ref="E6:E10" si="0">D6*$B$6</f>
        <v>59.310000000000009</v>
      </c>
      <c r="F6" s="133">
        <f>'Annual data (rates, Bands, disc'!H3/12</f>
        <v>23.25</v>
      </c>
      <c r="G6" s="134">
        <f>IF('Period RSL data'!D5&gt;'Charging RSL Spilt per grade'!F6,'Charging RSL Spilt per grade'!F6,'Period RSL data'!D5)</f>
        <v>0</v>
      </c>
      <c r="H6" s="135">
        <f>(F6-(G6+G7+G8+G9+G10+G11))+F6</f>
        <v>46.5</v>
      </c>
      <c r="I6" s="134">
        <f>IF('Period RSL data'!E5&gt;'Charging RSL Spilt per grade'!H6,'Charging RSL Spilt per grade'!H6,'Period RSL data'!E5)</f>
        <v>0</v>
      </c>
      <c r="J6" s="135">
        <f>(H6-(I6+I7+I8+I9+I10+I11))+F6</f>
        <v>69.75</v>
      </c>
      <c r="K6" s="134">
        <f>IF('Period RSL data'!F5&gt;'Charging RSL Spilt per grade'!J6,'Charging RSL Spilt per grade'!J6,'Period RSL data'!F5)</f>
        <v>0</v>
      </c>
      <c r="L6" s="135">
        <f>(J6-(K6+K7+K8+K9+K10+K11))+F6</f>
        <v>93</v>
      </c>
      <c r="M6" s="134">
        <f>IF('Period RSL data'!G5&gt;'Charging RSL Spilt per grade'!L6,'Charging RSL Spilt per grade'!L6,'Period RSL data'!G5)</f>
        <v>0</v>
      </c>
      <c r="N6" s="135">
        <f>(L6-(M6+M7+M8+M9+M10+M11))+F6</f>
        <v>116.25</v>
      </c>
      <c r="O6" s="134">
        <f>IF('Period RSL data'!H5&gt;'Charging RSL Spilt per grade'!N6,'Charging RSL Spilt per grade'!N6,'Period RSL data'!H5)</f>
        <v>0</v>
      </c>
      <c r="P6" s="135">
        <f>(N6-(O6+O7+O8+O9+O10+O11))+F6</f>
        <v>139.5</v>
      </c>
      <c r="Q6" s="134">
        <f>IF('Period RSL data'!I5&gt;'Charging RSL Spilt per grade'!P6,'Charging RSL Spilt per grade'!P6,'Period RSL data'!I5)</f>
        <v>0</v>
      </c>
      <c r="R6" s="135">
        <f>(P6-(Q6+Q7+Q8+Q9+Q10+Q11))+F6</f>
        <v>162.75</v>
      </c>
      <c r="S6" s="134">
        <f>IF('Period RSL data'!J5&gt;'Charging RSL Spilt per grade'!R6,'Charging RSL Spilt per grade'!R6,'Period RSL data'!J5)</f>
        <v>0</v>
      </c>
      <c r="T6" s="135">
        <f>(R6-(S6+S7+S8+S9+S10+S11))+F6</f>
        <v>186</v>
      </c>
      <c r="U6" s="134">
        <f>IF('Period RSL data'!K5&gt;'Charging RSL Spilt per grade'!T6,'Charging RSL Spilt per grade'!T6,'Period RSL data'!K5)</f>
        <v>0</v>
      </c>
      <c r="V6" s="135">
        <f>(T6-(U6+U7+U8+U9+U10+U11))+F6</f>
        <v>209.25</v>
      </c>
      <c r="W6" s="134">
        <f>IF('Period RSL data'!L5&gt;'Charging RSL Spilt per grade'!V6,'Charging RSL Spilt per grade'!V6,'Period RSL data'!L5)</f>
        <v>0</v>
      </c>
      <c r="X6" s="135">
        <f>(V6-(W6+W7+W8+W9+W10+W11))+F6</f>
        <v>232.5</v>
      </c>
      <c r="Y6" s="134">
        <f>IF('Period RSL data'!M5&gt;'Charging RSL Spilt per grade'!X6,'Charging RSL Spilt per grade'!X6,'Period RSL data'!M5)</f>
        <v>0</v>
      </c>
      <c r="Z6" s="135">
        <f>(X6-(Y6+Y7+Y8+Y9+Y10+Y11))+F6</f>
        <v>255.75</v>
      </c>
      <c r="AA6" s="134">
        <f>IF('Period RSL data'!N5&gt;'Charging RSL Spilt per grade'!Z6,'Charging RSL Spilt per grade'!Z6,'Period RSL data'!N5)</f>
        <v>0</v>
      </c>
      <c r="AB6" s="135">
        <f>(Z6-(AA6+AA7+AA8+AA9+AA10+AA11))+F6</f>
        <v>279</v>
      </c>
      <c r="AC6" s="134">
        <f>IF('Period RSL data'!O5&gt;'Charging RSL Spilt per grade'!AB6,'Charging RSL Spilt per grade'!AB6,'Period RSL data'!O5)</f>
        <v>0</v>
      </c>
      <c r="AD6" s="136">
        <f>G6+I6+K6+M6+O6+Q6+S6+U6+W6+Y6+AA6+AC6</f>
        <v>0</v>
      </c>
    </row>
    <row r="7" spans="1:30" x14ac:dyDescent="0.35">
      <c r="A7" s="131"/>
      <c r="B7" s="156"/>
      <c r="C7" s="22" t="s">
        <v>107</v>
      </c>
      <c r="D7" s="11">
        <f>'Period RSL data'!C6</f>
        <v>98.850000000000009</v>
      </c>
      <c r="E7" s="11">
        <f t="shared" si="0"/>
        <v>88.965000000000003</v>
      </c>
      <c r="F7" s="135"/>
      <c r="G7" s="137">
        <f>IF(G6=F6,0,IF('Period RSL data'!D6&lt;'Charging RSL Spilt per grade'!F6-G6,'Period RSL data'!D6,'Charging RSL Spilt per grade'!F6-'Charging RSL Spilt per grade'!G6))</f>
        <v>0</v>
      </c>
      <c r="H7" s="135"/>
      <c r="I7" s="137">
        <f>IF(I6=H6,0,IF('Period RSL data'!E6&lt;'Charging RSL Spilt per grade'!H6-I6,'Period RSL data'!E6,'Charging RSL Spilt per grade'!H6-'Charging RSL Spilt per grade'!I6))</f>
        <v>0</v>
      </c>
      <c r="J7" s="135"/>
      <c r="K7" s="137">
        <f>IF(K6=J6,0,IF('Period RSL data'!F6&lt;'Charging RSL Spilt per grade'!J6-K6,'Period RSL data'!F6,'Charging RSL Spilt per grade'!J6-'Charging RSL Spilt per grade'!K6))</f>
        <v>0</v>
      </c>
      <c r="L7" s="135"/>
      <c r="M7" s="137">
        <f>IF(M6=L6,0,IF('Period RSL data'!G6&lt;'Charging RSL Spilt per grade'!L6-M6,'Period RSL data'!G6,'Charging RSL Spilt per grade'!L6-'Charging RSL Spilt per grade'!M6))</f>
        <v>0</v>
      </c>
      <c r="N7" s="135"/>
      <c r="O7" s="137">
        <f>IF(O6=N6,0,IF('Period RSL data'!H6&lt;'Charging RSL Spilt per grade'!N6-O6,'Period RSL data'!H6,'Charging RSL Spilt per grade'!N6-'Charging RSL Spilt per grade'!O6))</f>
        <v>0</v>
      </c>
      <c r="P7" s="135"/>
      <c r="Q7" s="137">
        <f>IF(Q6=P6,0,IF('Period RSL data'!I6&lt;'Charging RSL Spilt per grade'!P6-Q6,'Period RSL data'!I6,'Charging RSL Spilt per grade'!P6-'Charging RSL Spilt per grade'!Q6))</f>
        <v>0</v>
      </c>
      <c r="R7" s="135"/>
      <c r="S7" s="137">
        <f>IF(S6=R6,0,IF('Period RSL data'!J6&lt;'Charging RSL Spilt per grade'!R6-S6,'Period RSL data'!J6,'Charging RSL Spilt per grade'!R6-'Charging RSL Spilt per grade'!S6))</f>
        <v>0</v>
      </c>
      <c r="T7" s="135"/>
      <c r="U7" s="137">
        <f>IF(U6=T6,0,IF('Period RSL data'!K6&lt;'Charging RSL Spilt per grade'!T6-U6,'Period RSL data'!K6,'Charging RSL Spilt per grade'!T6-'Charging RSL Spilt per grade'!U6))</f>
        <v>0</v>
      </c>
      <c r="V7" s="135"/>
      <c r="W7" s="137">
        <f>IF(W6=V6,0,IF('Period RSL data'!L6&lt;'Charging RSL Spilt per grade'!V6-W6,'Period RSL data'!L6,'Charging RSL Spilt per grade'!V6-'Charging RSL Spilt per grade'!W6))</f>
        <v>0</v>
      </c>
      <c r="X7" s="135"/>
      <c r="Y7" s="137">
        <f>IF(Y6=X6,0,IF('Period RSL data'!M6&lt;'Charging RSL Spilt per grade'!X6-Y6,'Period RSL data'!M6,'Charging RSL Spilt per grade'!X6-'Charging RSL Spilt per grade'!Y6))</f>
        <v>0</v>
      </c>
      <c r="Z7" s="135"/>
      <c r="AA7" s="137">
        <f>IF(AA6=Z6,0,IF('Period RSL data'!N6&lt;'Charging RSL Spilt per grade'!Z6-AA6,'Period RSL data'!N6,'Charging RSL Spilt per grade'!Z6-'Charging RSL Spilt per grade'!AA6))</f>
        <v>0</v>
      </c>
      <c r="AB7" s="135"/>
      <c r="AC7" s="137">
        <f>IF(AC6=AB6,0,IF('Period RSL data'!O6&lt;'Charging RSL Spilt per grade'!AB6-AC6,'Period RSL data'!O6,'Charging RSL Spilt per grade'!AB6-'Charging RSL Spilt per grade'!AC6))</f>
        <v>0</v>
      </c>
      <c r="AD7" s="136">
        <f t="shared" ref="AD7:AD41" si="1">G7+I7+K7+M7+O7+Q7+S7+U7+W7+Y7+AA7+AC7</f>
        <v>0</v>
      </c>
    </row>
    <row r="8" spans="1:30" x14ac:dyDescent="0.35">
      <c r="A8" s="131"/>
      <c r="B8" s="156"/>
      <c r="C8" s="22" t="s">
        <v>108</v>
      </c>
      <c r="D8" s="11">
        <f>'Period RSL data'!C7</f>
        <v>131.80000000000001</v>
      </c>
      <c r="E8" s="11">
        <f t="shared" si="0"/>
        <v>118.62000000000002</v>
      </c>
      <c r="F8" s="135"/>
      <c r="G8" s="138">
        <f>IF(G6+G7=F6,0,IF('Period RSL data'!D7&lt;'Charging RSL Spilt per grade'!F6-(G6+G7),'Period RSL data'!D7,'Charging RSL Spilt per grade'!F6-('Charging RSL Spilt per grade'!G6+G7)))</f>
        <v>0</v>
      </c>
      <c r="H8" s="135"/>
      <c r="I8" s="138">
        <f>IF(I6+I7=H6,0,IF('Period RSL data'!E7&lt;'Charging RSL Spilt per grade'!H6-(I6+I7),'Period RSL data'!E7,'Charging RSL Spilt per grade'!H6-('Charging RSL Spilt per grade'!I6+I7)))</f>
        <v>0</v>
      </c>
      <c r="J8" s="135"/>
      <c r="K8" s="138">
        <f>IF(K6+K7=J6,0,IF('Period RSL data'!F7&lt;'Charging RSL Spilt per grade'!J6-(K6+K7),'Period RSL data'!F7,'Charging RSL Spilt per grade'!J6-('Charging RSL Spilt per grade'!K6+K7)))</f>
        <v>0</v>
      </c>
      <c r="L8" s="135"/>
      <c r="M8" s="138">
        <f>IF(M6+M7=L6,0,IF('Period RSL data'!G7&lt;'Charging RSL Spilt per grade'!L6-(M6+M7),'Period RSL data'!G7,'Charging RSL Spilt per grade'!L6-('Charging RSL Spilt per grade'!M6+M7)))</f>
        <v>0</v>
      </c>
      <c r="N8" s="135"/>
      <c r="O8" s="138">
        <f>IF(O6+O7=N6,0,IF('Period RSL data'!H7&lt;'Charging RSL Spilt per grade'!N6-(O6+O7),'Period RSL data'!H7,'Charging RSL Spilt per grade'!N6-('Charging RSL Spilt per grade'!O6+O7)))</f>
        <v>0</v>
      </c>
      <c r="P8" s="135"/>
      <c r="Q8" s="138">
        <f>IF(Q6+Q7=P6,0,IF('Period RSL data'!I7&lt;'Charging RSL Spilt per grade'!P6-(Q6+Q7),'Period RSL data'!I7,'Charging RSL Spilt per grade'!P6-('Charging RSL Spilt per grade'!Q6+Q7)))</f>
        <v>0</v>
      </c>
      <c r="R8" s="135"/>
      <c r="S8" s="138">
        <f>IF(S6+S7=R6,0,IF('Period RSL data'!J7&lt;'Charging RSL Spilt per grade'!R6-(S6+S7),'Period RSL data'!J7,'Charging RSL Spilt per grade'!R6-('Charging RSL Spilt per grade'!S6+S7)))</f>
        <v>0</v>
      </c>
      <c r="T8" s="135"/>
      <c r="U8" s="138">
        <f>IF(U6+U7=T6,0,IF('Period RSL data'!K7&lt;'Charging RSL Spilt per grade'!T6-(U6+U7),'Period RSL data'!K7,'Charging RSL Spilt per grade'!T6-('Charging RSL Spilt per grade'!U6+U7)))</f>
        <v>0</v>
      </c>
      <c r="V8" s="135"/>
      <c r="W8" s="138">
        <f>IF(W6+W7=V6,0,IF('Period RSL data'!L7&lt;'Charging RSL Spilt per grade'!V6-(W6+W7),'Period RSL data'!L7,'Charging RSL Spilt per grade'!V6-('Charging RSL Spilt per grade'!W6+W7)))</f>
        <v>0</v>
      </c>
      <c r="X8" s="135"/>
      <c r="Y8" s="138">
        <f>IF(Y6+Y7=X6,0,IF('Period RSL data'!M7&lt;'Charging RSL Spilt per grade'!X6-(Y6+Y7),'Period RSL data'!M7,'Charging RSL Spilt per grade'!X6-('Charging RSL Spilt per grade'!Y6+Y7)))</f>
        <v>0</v>
      </c>
      <c r="Z8" s="135"/>
      <c r="AA8" s="138">
        <f>IF(AA6+AA7=Z6,0,IF('Period RSL data'!N7&lt;'Charging RSL Spilt per grade'!Z6-(AA6+AA7),'Period RSL data'!N7,'Charging RSL Spilt per grade'!Z6-('Charging RSL Spilt per grade'!AA6+AA7)))</f>
        <v>0</v>
      </c>
      <c r="AB8" s="135"/>
      <c r="AC8" s="138">
        <f>IF(AC6+AC7=AB6,0,IF('Period RSL data'!O7&lt;'Charging RSL Spilt per grade'!AB6-(AC6+AC7),'Period RSL data'!O7,'Charging RSL Spilt per grade'!AB6-('Charging RSL Spilt per grade'!AC6+AC7)))</f>
        <v>0</v>
      </c>
      <c r="AD8" s="136">
        <f t="shared" si="1"/>
        <v>0</v>
      </c>
    </row>
    <row r="9" spans="1:30" x14ac:dyDescent="0.35">
      <c r="A9" s="131"/>
      <c r="B9" s="156"/>
      <c r="C9" s="22" t="s">
        <v>109</v>
      </c>
      <c r="D9" s="11">
        <f>'Period RSL data'!C8</f>
        <v>43.2</v>
      </c>
      <c r="E9" s="11">
        <f t="shared" si="0"/>
        <v>38.880000000000003</v>
      </c>
      <c r="F9" s="135"/>
      <c r="G9" s="139">
        <f>IF(G6+G7+G8=F6,0,IF('Period RSL data'!D8&lt;'Charging RSL Spilt per grade'!F6-(G6+G7+G8),'Period RSL data'!D8,'Charging RSL Spilt per grade'!F6-('Charging RSL Spilt per grade'!G6+G7+G8)))</f>
        <v>0</v>
      </c>
      <c r="H9" s="135"/>
      <c r="I9" s="139">
        <f>IF(I6+I7+I8=H6,0,IF('Period RSL data'!E8&lt;'Charging RSL Spilt per grade'!H6-(I6+I7+I8),'Period RSL data'!E8,'Charging RSL Spilt per grade'!H6-('Charging RSL Spilt per grade'!I6+I7+I8)))</f>
        <v>0</v>
      </c>
      <c r="J9" s="135"/>
      <c r="K9" s="139">
        <f>IF(K6+K7+K8=J6,0,IF('Period RSL data'!F8&lt;'Charging RSL Spilt per grade'!J6-(K6+K7+K8),'Period RSL data'!F8,'Charging RSL Spilt per grade'!J6-('Charging RSL Spilt per grade'!K6+K7+K8)))</f>
        <v>0</v>
      </c>
      <c r="L9" s="135"/>
      <c r="M9" s="139">
        <f>IF(M6+M7+M8=L6,0,IF('Period RSL data'!G8&lt;'Charging RSL Spilt per grade'!L6-(M6+M7+M8),'Period RSL data'!G8,'Charging RSL Spilt per grade'!L6-('Charging RSL Spilt per grade'!M6+M7+M8)))</f>
        <v>0</v>
      </c>
      <c r="N9" s="135"/>
      <c r="O9" s="139">
        <f>IF(O6+O7+O8=N6,0,IF('Period RSL data'!H8&lt;'Charging RSL Spilt per grade'!N6-(O6+O7+O8),'Period RSL data'!H8,'Charging RSL Spilt per grade'!N6-('Charging RSL Spilt per grade'!O6+O7+O8)))</f>
        <v>0</v>
      </c>
      <c r="P9" s="135"/>
      <c r="Q9" s="139">
        <f>IF(Q6+Q7+Q8=P6,0,IF('Period RSL data'!I8&lt;'Charging RSL Spilt per grade'!P6-(Q6+Q7+Q8),'Period RSL data'!I8,'Charging RSL Spilt per grade'!P6-('Charging RSL Spilt per grade'!Q6+Q7+Q8)))</f>
        <v>0</v>
      </c>
      <c r="R9" s="135"/>
      <c r="S9" s="139">
        <f>IF(S6+S7+S8=R6,0,IF('Period RSL data'!J8&lt;'Charging RSL Spilt per grade'!R6-(S6+S7+S8),'Period RSL data'!J8,'Charging RSL Spilt per grade'!R6-('Charging RSL Spilt per grade'!S6+S7+S8)))</f>
        <v>0</v>
      </c>
      <c r="T9" s="135"/>
      <c r="U9" s="139">
        <f>IF(U6+U7+U8=T6,0,IF('Period RSL data'!K8&lt;'Charging RSL Spilt per grade'!T6-(U6+U7+U8),'Period RSL data'!K8,'Charging RSL Spilt per grade'!T6-('Charging RSL Spilt per grade'!U6+U7+U8)))</f>
        <v>0</v>
      </c>
      <c r="V9" s="135"/>
      <c r="W9" s="139">
        <f>IF(W6+W7+W8=V6,0,IF('Period RSL data'!L8&lt;'Charging RSL Spilt per grade'!V6-(W6+W7+W8),'Period RSL data'!L8,'Charging RSL Spilt per grade'!V6-('Charging RSL Spilt per grade'!W6+W7+W8)))</f>
        <v>0</v>
      </c>
      <c r="X9" s="135"/>
      <c r="Y9" s="139">
        <f>IF(Y6+Y7+Y8=X6,0,IF('Period RSL data'!M8&lt;'Charging RSL Spilt per grade'!X6-(Y6+Y7+Y8),'Period RSL data'!M8,'Charging RSL Spilt per grade'!X6-('Charging RSL Spilt per grade'!Y6+Y7+Y8)))</f>
        <v>0</v>
      </c>
      <c r="Z9" s="135"/>
      <c r="AA9" s="139">
        <f>IF(AA6+AA7+AA8=Z6,0,IF('Period RSL data'!N8&lt;'Charging RSL Spilt per grade'!Z6-(AA6+AA7+AA8),'Period RSL data'!N8,'Charging RSL Spilt per grade'!Z6-('Charging RSL Spilt per grade'!AA6+AA7+AA8)))</f>
        <v>0</v>
      </c>
      <c r="AB9" s="135"/>
      <c r="AC9" s="139">
        <f>IF(AC6+AC7+AC8=AB6,0,IF('Period RSL data'!O8&lt;'Charging RSL Spilt per grade'!AB6-(AC6+AC7+AC8),'Period RSL data'!O8,'Charging RSL Spilt per grade'!AB6-('Charging RSL Spilt per grade'!AC6+AC7+AC8)))</f>
        <v>0</v>
      </c>
      <c r="AD9" s="136">
        <f t="shared" si="1"/>
        <v>0</v>
      </c>
    </row>
    <row r="10" spans="1:30" x14ac:dyDescent="0.35">
      <c r="A10" s="131"/>
      <c r="B10" s="156"/>
      <c r="C10" s="22" t="s">
        <v>110</v>
      </c>
      <c r="D10" s="11">
        <f>'Period RSL data'!C9</f>
        <v>64.800000000000011</v>
      </c>
      <c r="E10" s="11">
        <f t="shared" si="0"/>
        <v>58.320000000000014</v>
      </c>
      <c r="F10" s="135"/>
      <c r="G10" s="140">
        <f>IF(G6+G7+G8+G9=F6,0,IF('Period RSL data'!D9&lt;'Charging RSL Spilt per grade'!F6-(G6+G7+G8+G9),'Period RSL data'!D9,'Charging RSL Spilt per grade'!F6-('Charging RSL Spilt per grade'!G6+G7+G8+G9)))</f>
        <v>0</v>
      </c>
      <c r="H10" s="135"/>
      <c r="I10" s="140">
        <f>IF(I6+I7+I8+I9=H6,0,IF('Period RSL data'!E9&lt;'Charging RSL Spilt per grade'!H6-(I6+I7+I8+I9),'Period RSL data'!E9,'Charging RSL Spilt per grade'!H6-('Charging RSL Spilt per grade'!I6+I7+I8+I9)))</f>
        <v>0</v>
      </c>
      <c r="J10" s="135"/>
      <c r="K10" s="140">
        <f>IF(K6+K7+K8+K9=J6,0,IF('Period RSL data'!F9&lt;'Charging RSL Spilt per grade'!J6-(K6+K7+K8+K9),'Period RSL data'!F9,'Charging RSL Spilt per grade'!J6-('Charging RSL Spilt per grade'!K6+K7+K8+K9)))</f>
        <v>0</v>
      </c>
      <c r="L10" s="135"/>
      <c r="M10" s="140">
        <f>IF(M6+M7+M8+M9=L6,0,IF('Period RSL data'!G9&lt;'Charging RSL Spilt per grade'!L6-(M6+M7+M8+M9),'Period RSL data'!G9,'Charging RSL Spilt per grade'!L6-('Charging RSL Spilt per grade'!M6+M7+M8+M9)))</f>
        <v>0</v>
      </c>
      <c r="N10" s="135"/>
      <c r="O10" s="140">
        <f>IF(O6+O7+O8+O9=N6,0,IF('Period RSL data'!H9&lt;'Charging RSL Spilt per grade'!N6-(O6+O7+O8+O9),'Period RSL data'!H9,'Charging RSL Spilt per grade'!N6-('Charging RSL Spilt per grade'!O6+O7+O8+O9)))</f>
        <v>0</v>
      </c>
      <c r="P10" s="135"/>
      <c r="Q10" s="140">
        <f>IF(Q6+Q7+Q8+Q9=P6,0,IF('Period RSL data'!I9&lt;'Charging RSL Spilt per grade'!P6-(Q6+Q7+Q8+Q9),'Period RSL data'!I9,'Charging RSL Spilt per grade'!P6-('Charging RSL Spilt per grade'!Q6+Q7+Q8+Q9)))</f>
        <v>0</v>
      </c>
      <c r="R10" s="135"/>
      <c r="S10" s="140">
        <f>IF(S6+S7+S8+S9=R6,0,IF('Period RSL data'!J9&lt;'Charging RSL Spilt per grade'!R6-(S6+S7+S8+S9),'Period RSL data'!J9,'Charging RSL Spilt per grade'!R6-('Charging RSL Spilt per grade'!S6+S7+S8+S9)))</f>
        <v>0</v>
      </c>
      <c r="T10" s="135"/>
      <c r="U10" s="140">
        <f>IF(U6+U7+U8+U9=T6,0,IF('Period RSL data'!K9&lt;'Charging RSL Spilt per grade'!T6-(U6+U7+U8+U9),'Period RSL data'!K9,'Charging RSL Spilt per grade'!T6-('Charging RSL Spilt per grade'!U6+U7+U8+U9)))</f>
        <v>0</v>
      </c>
      <c r="V10" s="135"/>
      <c r="W10" s="140">
        <f>IF(W6+W7+W8+W9=V6,0,IF('Period RSL data'!L9&lt;'Charging RSL Spilt per grade'!V6-(W6+W7+W8+W9),'Period RSL data'!L9,'Charging RSL Spilt per grade'!V6-('Charging RSL Spilt per grade'!W6+W7+W8+W9)))</f>
        <v>0</v>
      </c>
      <c r="X10" s="135"/>
      <c r="Y10" s="140">
        <f>IF(Y6+Y7+Y8+Y9=X6,0,IF('Period RSL data'!M9&lt;'Charging RSL Spilt per grade'!X6-(Y6+Y7+Y8+Y9),'Period RSL data'!M9,'Charging RSL Spilt per grade'!X6-('Charging RSL Spilt per grade'!Y6+Y7+Y8+Y9)))</f>
        <v>0</v>
      </c>
      <c r="Z10" s="135"/>
      <c r="AA10" s="140">
        <f>IF(AA6+AA7+AA8+AA9=Z6,0,IF('Period RSL data'!N9&lt;'Charging RSL Spilt per grade'!Z6-(AA6+AA7+AA8+AA9),'Period RSL data'!N9,'Charging RSL Spilt per grade'!Z6-('Charging RSL Spilt per grade'!AA6+AA7+AA8+AA9)))</f>
        <v>0</v>
      </c>
      <c r="AB10" s="135"/>
      <c r="AC10" s="140">
        <f>IF(AC6+AC7+AC8+AC9=AB6,0,IF('Period RSL data'!O9&lt;'Charging RSL Spilt per grade'!AB6-(AC6+AC7+AC8+AC9),'Period RSL data'!O9,'Charging RSL Spilt per grade'!AB6-('Charging RSL Spilt per grade'!AC6+AC7+AC8+AC9)))</f>
        <v>0</v>
      </c>
      <c r="AD10" s="136">
        <f t="shared" si="1"/>
        <v>0</v>
      </c>
    </row>
    <row r="11" spans="1:30" x14ac:dyDescent="0.35">
      <c r="A11" s="131"/>
      <c r="B11" s="156"/>
      <c r="C11" s="22" t="s">
        <v>111</v>
      </c>
      <c r="D11" s="11">
        <f>'Period RSL data'!C10</f>
        <v>86.4</v>
      </c>
      <c r="E11" s="11">
        <f>D11*$B$6</f>
        <v>77.760000000000005</v>
      </c>
      <c r="F11" s="135"/>
      <c r="G11" s="141">
        <f>IF(G6+G7+G8+G9+G10=F6,0,IF('Period RSL data'!D10&lt;'Charging RSL Spilt per grade'!F6-(G6+G7+G8+G9+G10),'Period RSL data'!D10,'Charging RSL Spilt per grade'!F6-('Charging RSL Spilt per grade'!G6+G7+G8+G9+G10)))</f>
        <v>0</v>
      </c>
      <c r="H11" s="135"/>
      <c r="I11" s="141">
        <f>IF(I6+I7+I8+I9+I10=H6,0,IF('Period RSL data'!E10&lt;'Charging RSL Spilt per grade'!H6-(I6+I7+I8+I9+I10),'Period RSL data'!E10,'Charging RSL Spilt per grade'!H6-('Charging RSL Spilt per grade'!I6+I7+I8+I9+I10)))</f>
        <v>0</v>
      </c>
      <c r="J11" s="135"/>
      <c r="K11" s="141">
        <f>IF(K6+K7+K8+K9+K10=J6,0,IF('Period RSL data'!F10&lt;'Charging RSL Spilt per grade'!J6-(K6+K7+K8+K9+K10),'Period RSL data'!F10,'Charging RSL Spilt per grade'!J6-('Charging RSL Spilt per grade'!K6+K7+K8+K9+K10)))</f>
        <v>0</v>
      </c>
      <c r="L11" s="135"/>
      <c r="M11" s="141">
        <f>IF(M6+M7+M8+M9+M10=L6,0,IF('Period RSL data'!G10&lt;'Charging RSL Spilt per grade'!L6-(M6+M7+M8+M9+M10),'Period RSL data'!G10,'Charging RSL Spilt per grade'!L6-('Charging RSL Spilt per grade'!M6+M7+M8+M9+M10)))</f>
        <v>0</v>
      </c>
      <c r="N11" s="135"/>
      <c r="O11" s="141">
        <f>IF(O6+O7+O8+O9+O10=N6,0,IF('Period RSL data'!H10&lt;'Charging RSL Spilt per grade'!N6-(O6+O7+O8+O9+O10),'Period RSL data'!H10,'Charging RSL Spilt per grade'!N6-('Charging RSL Spilt per grade'!O6+O7+O8+O9+O10)))</f>
        <v>0</v>
      </c>
      <c r="P11" s="135"/>
      <c r="Q11" s="141">
        <f>IF(Q6+Q7+Q8+Q9+Q10=P6,0,IF('Period RSL data'!I10&lt;'Charging RSL Spilt per grade'!P6-(Q6+Q7+Q8+Q9+Q10),'Period RSL data'!I10,'Charging RSL Spilt per grade'!P6-('Charging RSL Spilt per grade'!Q6+Q7+Q8+Q9+Q10)))</f>
        <v>0</v>
      </c>
      <c r="R11" s="135"/>
      <c r="S11" s="141">
        <f>IF(S6+S7+S8+S9+S10=R6,0,IF('Period RSL data'!J10&lt;'Charging RSL Spilt per grade'!R6-(S6+S7+S8+S9+S10),'Period RSL data'!J10,'Charging RSL Spilt per grade'!R6-('Charging RSL Spilt per grade'!S6+S7+S8+S9+S10)))</f>
        <v>0</v>
      </c>
      <c r="T11" s="135"/>
      <c r="U11" s="141">
        <f>IF(U6+U7+U8+U9+U10=T6,0,IF('Period RSL data'!K10&lt;'Charging RSL Spilt per grade'!T6-(U6+U7+U8+U9+U10),'Period RSL data'!K10,'Charging RSL Spilt per grade'!T6-('Charging RSL Spilt per grade'!U6+U7+U8+U9+U10)))</f>
        <v>0</v>
      </c>
      <c r="V11" s="135"/>
      <c r="W11" s="141">
        <f>IF(W6+W7+W8+W9+W10=V6,0,IF('Period RSL data'!L10&lt;'Charging RSL Spilt per grade'!V6-(W6+W7+W8+W9+W10),'Period RSL data'!L10,'Charging RSL Spilt per grade'!V6-('Charging RSL Spilt per grade'!W6+W7+W8+W9+W10)))</f>
        <v>0</v>
      </c>
      <c r="X11" s="135"/>
      <c r="Y11" s="141">
        <f>IF(Y6+Y7+Y8+Y9+Y10=X6,0,IF('Period RSL data'!M10&lt;'Charging RSL Spilt per grade'!X6-(Y6+Y7+Y8+Y9+Y10),'Period RSL data'!M10,'Charging RSL Spilt per grade'!X6-('Charging RSL Spilt per grade'!Y6+Y7+Y8+Y9+Y10)))</f>
        <v>0</v>
      </c>
      <c r="Z11" s="135"/>
      <c r="AA11" s="141">
        <f>IF(AA6+AA7+AA8+AA9+AA10=Z6,0,IF('Period RSL data'!N10&lt;'Charging RSL Spilt per grade'!Z6-(AA6+AA7+AA8+AA9+AA10),'Period RSL data'!N10,'Charging RSL Spilt per grade'!Z6-('Charging RSL Spilt per grade'!AA6+AA7+AA8+AA9+AA10)))</f>
        <v>0</v>
      </c>
      <c r="AB11" s="135"/>
      <c r="AC11" s="141">
        <f>IF(AC6+AC7+AC8+AC9+AC10=AB6,0,IF('Period RSL data'!O10&lt;'Charging RSL Spilt per grade'!AB6-(AC6+AC7+AC8+AC9+AC10),'Period RSL data'!O10,'Charging RSL Spilt per grade'!AB6-('Charging RSL Spilt per grade'!AC6+AC7+AC8+AC9+AC10)))</f>
        <v>0</v>
      </c>
      <c r="AD11" s="136">
        <f t="shared" si="1"/>
        <v>0</v>
      </c>
    </row>
    <row r="12" spans="1:30" x14ac:dyDescent="0.35">
      <c r="A12" s="131">
        <v>2</v>
      </c>
      <c r="B12" s="156">
        <f>'Annual data (rates, Bands, disc'!E4</f>
        <v>0.75</v>
      </c>
      <c r="C12" s="22" t="str">
        <f t="shared" ref="C12:D17" si="2">C6</f>
        <v>OV Single</v>
      </c>
      <c r="D12" s="11">
        <f t="shared" si="2"/>
        <v>65.900000000000006</v>
      </c>
      <c r="E12" s="11">
        <f>D12*$B$12</f>
        <v>49.425000000000004</v>
      </c>
      <c r="F12" s="133">
        <f>'Annual data (rates, Bands, disc'!H4/12</f>
        <v>57.25</v>
      </c>
      <c r="G12" s="134">
        <f>IF('Period RSL data'!D5-'Charging RSL Spilt per grade'!G6&lt;0,0,IF('Period RSL data'!D5-'Charging RSL Spilt per grade'!G6&gt;'Charging RSL Spilt per grade'!F12,'Charging RSL Spilt per grade'!F12,'Period RSL data'!D5-'Charging RSL Spilt per grade'!G6))</f>
        <v>0</v>
      </c>
      <c r="H12" s="135">
        <f>(F12-(G12+G13+G14+G15+G16+G17))+F12</f>
        <v>114.5</v>
      </c>
      <c r="I12" s="134">
        <f>IF('Period RSL data'!E5-'Charging RSL Spilt per grade'!I6&lt;0,0,IF('Period RSL data'!E5-'Charging RSL Spilt per grade'!I6&gt;'Charging RSL Spilt per grade'!H12,'Charging RSL Spilt per grade'!H12,'Period RSL data'!E5-'Charging RSL Spilt per grade'!I6))</f>
        <v>0</v>
      </c>
      <c r="J12" s="135">
        <f>(H12-(I12+I13+I14+I15+I16+I17))+F12</f>
        <v>171.75</v>
      </c>
      <c r="K12" s="134">
        <f>IF('Period RSL data'!F5-'Charging RSL Spilt per grade'!K6&lt;0,0,IF('Period RSL data'!F5-'Charging RSL Spilt per grade'!K6&gt;'Charging RSL Spilt per grade'!J12,'Charging RSL Spilt per grade'!J12,'Period RSL data'!F5-'Charging RSL Spilt per grade'!K6))</f>
        <v>0</v>
      </c>
      <c r="L12" s="135">
        <f>(J12-(K12+K13+K14+K15+K16+K17))+F12</f>
        <v>229</v>
      </c>
      <c r="M12" s="134">
        <f>IF('Period RSL data'!G5-'Charging RSL Spilt per grade'!M6&lt;0,0,IF('Period RSL data'!G5-'Charging RSL Spilt per grade'!M6&gt;'Charging RSL Spilt per grade'!L12,'Charging RSL Spilt per grade'!L12,'Period RSL data'!G5-'Charging RSL Spilt per grade'!M6))</f>
        <v>0</v>
      </c>
      <c r="N12" s="135">
        <f>(L12-(M12+M13+M14+M15+M16+M17))+F12</f>
        <v>286.25</v>
      </c>
      <c r="O12" s="134">
        <f>IF('Period RSL data'!H5-'Charging RSL Spilt per grade'!O6&lt;0,0,IF('Period RSL data'!H5-'Charging RSL Spilt per grade'!O6&gt;'Charging RSL Spilt per grade'!N12,'Charging RSL Spilt per grade'!N12,'Period RSL data'!H5-'Charging RSL Spilt per grade'!O6))</f>
        <v>0</v>
      </c>
      <c r="P12" s="135">
        <f t="shared" ref="P12:P24" si="3">(N12-(O12+O13+O14+O15+O16+O17))+F12</f>
        <v>343.5</v>
      </c>
      <c r="Q12" s="134">
        <f>IF('Period RSL data'!I5-'Charging RSL Spilt per grade'!Q6&lt;0,0,IF('Period RSL data'!I5-'Charging RSL Spilt per grade'!Q6&gt;'Charging RSL Spilt per grade'!P12,'Charging RSL Spilt per grade'!P12,'Period RSL data'!I5-'Charging RSL Spilt per grade'!Q6))</f>
        <v>0</v>
      </c>
      <c r="R12" s="135">
        <f t="shared" ref="R12:R30" si="4">(P12-(Q12+Q13+Q14+Q15+Q16+Q17))+F12</f>
        <v>400.75</v>
      </c>
      <c r="S12" s="134">
        <f>IF('Period RSL data'!J5-'Charging RSL Spilt per grade'!S6&lt;0,0,IF('Period RSL data'!J5-'Charging RSL Spilt per grade'!S6&gt;'Charging RSL Spilt per grade'!R12,'Charging RSL Spilt per grade'!R12,'Period RSL data'!J5-'Charging RSL Spilt per grade'!S6))</f>
        <v>0</v>
      </c>
      <c r="T12" s="135">
        <f t="shared" ref="T12:T30" si="5">(R12-(S12+S13+S14+S15+S16+S17))+F12</f>
        <v>458</v>
      </c>
      <c r="U12" s="134">
        <f>IF('Period RSL data'!K5-'Charging RSL Spilt per grade'!U6&lt;0,0,IF('Period RSL data'!K5-'Charging RSL Spilt per grade'!U6&gt;'Charging RSL Spilt per grade'!T12,'Charging RSL Spilt per grade'!T12,'Period RSL data'!K5-'Charging RSL Spilt per grade'!U6))</f>
        <v>0</v>
      </c>
      <c r="V12" s="135">
        <f t="shared" ref="V12:V30" si="6">(T12-(U12+U13+U14+U15+U16+U17))+F12</f>
        <v>515.25</v>
      </c>
      <c r="W12" s="134">
        <f>IF('Period RSL data'!L5-'Charging RSL Spilt per grade'!W6&lt;0,0,IF('Period RSL data'!L5-'Charging RSL Spilt per grade'!W6&gt;'Charging RSL Spilt per grade'!V12,'Charging RSL Spilt per grade'!V12,'Period RSL data'!L5-'Charging RSL Spilt per grade'!W6))</f>
        <v>0</v>
      </c>
      <c r="X12" s="135">
        <f t="shared" ref="X12:X30" si="7">(V12-(W12+W13+W14+W15+W16+W17))+F12</f>
        <v>572.5</v>
      </c>
      <c r="Y12" s="134">
        <f>IF('Period RSL data'!M5-'Charging RSL Spilt per grade'!Y6&lt;0,0,IF('Period RSL data'!M5-'Charging RSL Spilt per grade'!Y6&gt;'Charging RSL Spilt per grade'!X12,'Charging RSL Spilt per grade'!X12,'Period RSL data'!M5-'Charging RSL Spilt per grade'!Y6))</f>
        <v>0</v>
      </c>
      <c r="Z12" s="135">
        <f t="shared" ref="Z12:Z30" si="8">(X12-(Y12+Y13+Y14+Y15+Y16+Y17))+F12</f>
        <v>629.75</v>
      </c>
      <c r="AA12" s="134">
        <f>IF('Period RSL data'!N5-'Charging RSL Spilt per grade'!AA6&lt;0,0,IF('Period RSL data'!N5-'Charging RSL Spilt per grade'!AA6&gt;'Charging RSL Spilt per grade'!Z12,'Charging RSL Spilt per grade'!Z12,'Period RSL data'!N5-'Charging RSL Spilt per grade'!AA6))</f>
        <v>0</v>
      </c>
      <c r="AB12" s="135">
        <f t="shared" ref="AB12:AB30" si="9">(Z12-(AA12+AA13+AA14+AA15+AA16+AA17))+F12</f>
        <v>687</v>
      </c>
      <c r="AC12" s="134">
        <f>IF('Period RSL data'!O5-'Charging RSL Spilt per grade'!AC6&lt;0,0,IF('Period RSL data'!O5-'Charging RSL Spilt per grade'!AC6&gt;'Charging RSL Spilt per grade'!AB12,'Charging RSL Spilt per grade'!AB12,'Period RSL data'!O5-'Charging RSL Spilt per grade'!AC6))</f>
        <v>0</v>
      </c>
      <c r="AD12" s="136">
        <f t="shared" si="1"/>
        <v>0</v>
      </c>
    </row>
    <row r="13" spans="1:30" x14ac:dyDescent="0.35">
      <c r="A13" s="131"/>
      <c r="B13" s="156"/>
      <c r="C13" s="22" t="str">
        <f t="shared" si="2"/>
        <v>OV 1.5</v>
      </c>
      <c r="D13" s="11">
        <f t="shared" si="2"/>
        <v>98.850000000000009</v>
      </c>
      <c r="E13" s="11">
        <f t="shared" ref="E13:E17" si="10">D13*$B$12</f>
        <v>74.137500000000003</v>
      </c>
      <c r="F13" s="135"/>
      <c r="G13" s="137">
        <f>IF(G12=F12,0,IF('Period RSL data'!D6-G7&lt;'Charging RSL Spilt per grade'!F12-G12,'Period RSL data'!D6-G7,'Charging RSL Spilt per grade'!F12-'Charging RSL Spilt per grade'!G12))</f>
        <v>0</v>
      </c>
      <c r="H13" s="135"/>
      <c r="I13" s="137">
        <f>IF(I12=H12,0,IF('Period RSL data'!E6-I7&lt;'Charging RSL Spilt per grade'!H12-I12,'Period RSL data'!E6-I7,'Charging RSL Spilt per grade'!H12-'Charging RSL Spilt per grade'!I12))</f>
        <v>0</v>
      </c>
      <c r="J13" s="135"/>
      <c r="K13" s="137">
        <f>IF(K12=J12,0,IF('Period RSL data'!F6-K7&lt;'Charging RSL Spilt per grade'!J12-K12,'Period RSL data'!F6-K7,'Charging RSL Spilt per grade'!J12-'Charging RSL Spilt per grade'!K12))</f>
        <v>0</v>
      </c>
      <c r="L13" s="135"/>
      <c r="M13" s="137">
        <f>IF(M12=L12,0,IF('Period RSL data'!G6-M7&lt;'Charging RSL Spilt per grade'!L12-M12,'Period RSL data'!G6-M7,'Charging RSL Spilt per grade'!L12-'Charging RSL Spilt per grade'!M12))</f>
        <v>0</v>
      </c>
      <c r="N13" s="135"/>
      <c r="O13" s="137">
        <f>IF(O12=N12,0,IF('Period RSL data'!H6-O7&lt;'Charging RSL Spilt per grade'!N12-O12,'Period RSL data'!H6-O7,'Charging RSL Spilt per grade'!N12-'Charging RSL Spilt per grade'!O12))</f>
        <v>0</v>
      </c>
      <c r="P13" s="135"/>
      <c r="Q13" s="137">
        <f>IF(Q12=P12,0,IF('Period RSL data'!I6-Q7&lt;'Charging RSL Spilt per grade'!P12-Q12,'Period RSL data'!I6-Q7,'Charging RSL Spilt per grade'!P12-'Charging RSL Spilt per grade'!Q12))</f>
        <v>0</v>
      </c>
      <c r="R13" s="135"/>
      <c r="S13" s="137">
        <f>IF(S12=R12,0,IF('Period RSL data'!J6-S7&lt;'Charging RSL Spilt per grade'!R12-S12,'Period RSL data'!J6-S7,'Charging RSL Spilt per grade'!R12-'Charging RSL Spilt per grade'!S12))</f>
        <v>0</v>
      </c>
      <c r="T13" s="135"/>
      <c r="U13" s="137">
        <f>IF(U12=T12,0,IF('Period RSL data'!K6-U7&lt;'Charging RSL Spilt per grade'!T12-U12,'Period RSL data'!K6-U7,'Charging RSL Spilt per grade'!T12-'Charging RSL Spilt per grade'!U12))</f>
        <v>0</v>
      </c>
      <c r="V13" s="135"/>
      <c r="W13" s="137">
        <f>IF(W12=V12,0,IF('Period RSL data'!L6-W7&lt;'Charging RSL Spilt per grade'!V12-W12,'Period RSL data'!L6-W7,'Charging RSL Spilt per grade'!V12-'Charging RSL Spilt per grade'!W12))</f>
        <v>0</v>
      </c>
      <c r="X13" s="135"/>
      <c r="Y13" s="137">
        <f>IF(Y12=X12,0,IF('Period RSL data'!M6-Y7&lt;'Charging RSL Spilt per grade'!X12-Y12,'Period RSL data'!M6-Y7,'Charging RSL Spilt per grade'!X12-'Charging RSL Spilt per grade'!Y12))</f>
        <v>0</v>
      </c>
      <c r="Z13" s="135"/>
      <c r="AA13" s="137">
        <f>IF(AA12=Z12,0,IF('Period RSL data'!N6-AA7&lt;'Charging RSL Spilt per grade'!Z12-AA12,'Period RSL data'!N6-AA7,'Charging RSL Spilt per grade'!Z12-'Charging RSL Spilt per grade'!AA12))</f>
        <v>0</v>
      </c>
      <c r="AB13" s="135"/>
      <c r="AC13" s="137">
        <f>IF(AC12=AB12,0,IF('Period RSL data'!O6-AC7&lt;'Charging RSL Spilt per grade'!AB12-AC12,'Period RSL data'!O6-AC7,'Charging RSL Spilt per grade'!AB12-'Charging RSL Spilt per grade'!AC12))</f>
        <v>0</v>
      </c>
      <c r="AD13" s="136">
        <f t="shared" si="1"/>
        <v>0</v>
      </c>
    </row>
    <row r="14" spans="1:30" x14ac:dyDescent="0.35">
      <c r="A14" s="131"/>
      <c r="B14" s="156"/>
      <c r="C14" s="22" t="str">
        <f t="shared" si="2"/>
        <v>OV Dbl</v>
      </c>
      <c r="D14" s="11">
        <f t="shared" si="2"/>
        <v>131.80000000000001</v>
      </c>
      <c r="E14" s="11">
        <f t="shared" si="10"/>
        <v>98.850000000000009</v>
      </c>
      <c r="F14" s="135"/>
      <c r="G14" s="138">
        <f>IF(G12+G13=F12,0,IF('Period RSL data'!D7&lt;'Charging RSL Spilt per grade'!F12-(G12+G13),'Period RSL data'!D7-G8,'Charging RSL Spilt per grade'!F12-('Charging RSL Spilt per grade'!G12+G13)))</f>
        <v>0</v>
      </c>
      <c r="H14" s="135"/>
      <c r="I14" s="138">
        <f>IF(I12+I13=H12,0,IF('Period RSL data'!E7-I8&lt;'Charging RSL Spilt per grade'!H12-(I12+I13),'Period RSL data'!E7-I8,'Charging RSL Spilt per grade'!H12-'Charging RSL Spilt per grade'!I12+I13))</f>
        <v>0</v>
      </c>
      <c r="J14" s="135"/>
      <c r="K14" s="138">
        <f>IF(K12+K13=J12,0,IF('Period RSL data'!F7-K8&lt;'Charging RSL Spilt per grade'!J12-(K12+K13),'Period RSL data'!F7-K8,'Charging RSL Spilt per grade'!J12-('Charging RSL Spilt per grade'!K12+K13)))</f>
        <v>0</v>
      </c>
      <c r="L14" s="135"/>
      <c r="M14" s="138">
        <f>IF(M12+M13=L12,0,IF('Period RSL data'!G7-M8&lt;'Charging RSL Spilt per grade'!L12-(M12+M13),'Period RSL data'!G7-M8,'Charging RSL Spilt per grade'!L12-('Charging RSL Spilt per grade'!M12+M13)))</f>
        <v>0</v>
      </c>
      <c r="N14" s="135"/>
      <c r="O14" s="138">
        <f>IF(O12+O13=N12,0,IF('Period RSL data'!H7-O8&lt;'Charging RSL Spilt per grade'!N12-(O12+O13),'Period RSL data'!H7-O8,'Charging RSL Spilt per grade'!N12-('Charging RSL Spilt per grade'!O12+O13)))</f>
        <v>0</v>
      </c>
      <c r="P14" s="135"/>
      <c r="Q14" s="138">
        <f>IF(Q12+Q13=P12,0,IF('Period RSL data'!I7-Q8&lt;'Charging RSL Spilt per grade'!P12-(Q12+Q13),'Period RSL data'!I7-Q8,'Charging RSL Spilt per grade'!P12-('Charging RSL Spilt per grade'!Q12+Q13)))</f>
        <v>0</v>
      </c>
      <c r="R14" s="135"/>
      <c r="S14" s="138">
        <f>IF(S12+S13=R12,0,IF('Period RSL data'!J7-S8&lt;'Charging RSL Spilt per grade'!R12-(S12+S13),'Period RSL data'!J7-S8,'Charging RSL Spilt per grade'!R12-('Charging RSL Spilt per grade'!S12+S13)))</f>
        <v>0</v>
      </c>
      <c r="T14" s="135"/>
      <c r="U14" s="138">
        <f>IF(U12+U13=T12,0,IF('Period RSL data'!K7-U8&lt;'Charging RSL Spilt per grade'!T12-(U12+U13),'Period RSL data'!K7-U8,'Charging RSL Spilt per grade'!T12-('Charging RSL Spilt per grade'!U12+U13)))</f>
        <v>0</v>
      </c>
      <c r="V14" s="135"/>
      <c r="W14" s="138">
        <f>IF(W12+W13=V12,0,IF('Period RSL data'!L7-W8&lt;'Charging RSL Spilt per grade'!V12-(W12+W13),'Period RSL data'!L7-W8,'Charging RSL Spilt per grade'!V12-('Charging RSL Spilt per grade'!W12+W13)))</f>
        <v>0</v>
      </c>
      <c r="X14" s="135"/>
      <c r="Y14" s="138">
        <f>IF(Y12+Y13=X12,0,IF('Period RSL data'!M7-Y8&lt;'Charging RSL Spilt per grade'!X12-(Y12+Y13),'Period RSL data'!M7-Y8,'Charging RSL Spilt per grade'!X12-('Charging RSL Spilt per grade'!Y12+Y13)))</f>
        <v>0</v>
      </c>
      <c r="Z14" s="135"/>
      <c r="AA14" s="138">
        <f>IF(AA12+AA13=Z12,0,IF('Period RSL data'!N7-AA8&lt;'Charging RSL Spilt per grade'!Z12-(AA12+AA13),'Period RSL data'!N7-AA8,'Charging RSL Spilt per grade'!Z12-('Charging RSL Spilt per grade'!AA12+AA13)))</f>
        <v>0</v>
      </c>
      <c r="AB14" s="135"/>
      <c r="AC14" s="138">
        <f>IF(AC12+AC13=AB12,0,IF('Period RSL data'!O7-AC8&lt;'Charging RSL Spilt per grade'!AB12-(AC12+AC13),'Period RSL data'!O7-AC8,'Charging RSL Spilt per grade'!AB12-('Charging RSL Spilt per grade'!AC12+AC13)))</f>
        <v>0</v>
      </c>
      <c r="AD14" s="136">
        <f t="shared" si="1"/>
        <v>0</v>
      </c>
    </row>
    <row r="15" spans="1:30" x14ac:dyDescent="0.35">
      <c r="A15" s="131"/>
      <c r="B15" s="156"/>
      <c r="C15" s="22" t="str">
        <f t="shared" si="2"/>
        <v>SMI Single</v>
      </c>
      <c r="D15" s="11">
        <f t="shared" si="2"/>
        <v>43.2</v>
      </c>
      <c r="E15" s="11">
        <f t="shared" si="10"/>
        <v>32.400000000000006</v>
      </c>
      <c r="F15" s="135"/>
      <c r="G15" s="139">
        <f>IF(G12+G13+G14=F12,0,IF('Period RSL data'!D8&lt;'Charging RSL Spilt per grade'!F12-(G12+G13+G14),'Period RSL data'!D8-G9,'Charging RSL Spilt per grade'!F12-('Charging RSL Spilt per grade'!G12+G13+G14)))</f>
        <v>0</v>
      </c>
      <c r="H15" s="135"/>
      <c r="I15" s="139">
        <f>IF(I12+I13+I14=H12,0,IF('Period RSL data'!E8-I9&lt;'Charging RSL Spilt per grade'!H12-(I12+I13+I14),'Period RSL data'!E8-I9,'Charging RSL Spilt per grade'!H12-('Charging RSL Spilt per grade'!I12+I13+I14)))</f>
        <v>0</v>
      </c>
      <c r="J15" s="135"/>
      <c r="K15" s="139">
        <f>IF(K12+K13+K14=J12,0,IF('Period RSL data'!F8-K9&lt;'Charging RSL Spilt per grade'!J12-(K12+K13+K14),'Period RSL data'!F8-K9,'Charging RSL Spilt per grade'!J12-('Charging RSL Spilt per grade'!K12+K13+K14)))</f>
        <v>0</v>
      </c>
      <c r="L15" s="135"/>
      <c r="M15" s="139">
        <f>IF(M12+M13+M14=L12,0,IF('Period RSL data'!G8-M9&lt;'Charging RSL Spilt per grade'!L12-(M12+M13+M14),'Period RSL data'!G8-M9,'Charging RSL Spilt per grade'!L12-('Charging RSL Spilt per grade'!M12+M13+M14)))</f>
        <v>0</v>
      </c>
      <c r="N15" s="135"/>
      <c r="O15" s="139">
        <f>IF(O12+O13+O14=N12,0,IF('Period RSL data'!H8-O9&lt;'Charging RSL Spilt per grade'!N12-(O12+O13+O14),'Period RSL data'!H8-O9,'Charging RSL Spilt per grade'!N12-('Charging RSL Spilt per grade'!O12+O13+O14)))</f>
        <v>0</v>
      </c>
      <c r="P15" s="135"/>
      <c r="Q15" s="139">
        <f>IF(Q12+Q13+Q14=P12,0,IF('Period RSL data'!I8-Q9&lt;'Charging RSL Spilt per grade'!P12-(Q12+Q13+Q14),'Period RSL data'!I8-Q9,'Charging RSL Spilt per grade'!P12-('Charging RSL Spilt per grade'!Q12+Q13+Q14)))</f>
        <v>0</v>
      </c>
      <c r="R15" s="135"/>
      <c r="S15" s="139">
        <f>IF(S12+S13+S14=R12,0,IF('Period RSL data'!J8-S9&lt;'Charging RSL Spilt per grade'!R12-(S12+S13+S14),'Period RSL data'!J8-S9,'Charging RSL Spilt per grade'!R12-('Charging RSL Spilt per grade'!S12+S13+S14)))</f>
        <v>0</v>
      </c>
      <c r="T15" s="135"/>
      <c r="U15" s="139">
        <f>IF(U12+U13+U14=T12,0,IF('Period RSL data'!K8-U9&lt;'Charging RSL Spilt per grade'!T12-(U12+U13+U14),'Period RSL data'!K8-U9,'Charging RSL Spilt per grade'!T12-('Charging RSL Spilt per grade'!U12+U13+U14)))</f>
        <v>0</v>
      </c>
      <c r="V15" s="135"/>
      <c r="W15" s="139">
        <f>IF(W12+W13+W14=V12,0,IF('Period RSL data'!L8-W9&lt;'Charging RSL Spilt per grade'!V12-(W12+W13+W14),'Period RSL data'!L8-W9,'Charging RSL Spilt per grade'!V12-('Charging RSL Spilt per grade'!W12+W13+W14)))</f>
        <v>0</v>
      </c>
      <c r="X15" s="135"/>
      <c r="Y15" s="139">
        <f>IF(Y12+Y13+Y14=X12,0,IF('Period RSL data'!M8-Y9&lt;'Charging RSL Spilt per grade'!X12-(Y12+Y13+Y14),'Period RSL data'!M8-Y9,'Charging RSL Spilt per grade'!X12-('Charging RSL Spilt per grade'!Y12+Y13+Y14)))</f>
        <v>0</v>
      </c>
      <c r="Z15" s="135"/>
      <c r="AA15" s="139">
        <f>IF(AA12+AA13+AA14=Z12,0,IF('Period RSL data'!N8-AA9&lt;'Charging RSL Spilt per grade'!Z12-(AA12+AA13+AA14),'Period RSL data'!N8-AA9,'Charging RSL Spilt per grade'!Z12-('Charging RSL Spilt per grade'!AA12+AA13+AA14)))</f>
        <v>0</v>
      </c>
      <c r="AB15" s="135"/>
      <c r="AC15" s="139">
        <f>IF(AC12+AC13+AC14=AB12,0,IF('Period RSL data'!O8-AC9&lt;'Charging RSL Spilt per grade'!AB12-(AC12+AC13+AC14),'Period RSL data'!O8-AC9,'Charging RSL Spilt per grade'!AB12-('Charging RSL Spilt per grade'!AC12+AC13+AC14)))</f>
        <v>0</v>
      </c>
      <c r="AD15" s="136">
        <f t="shared" si="1"/>
        <v>0</v>
      </c>
    </row>
    <row r="16" spans="1:30" x14ac:dyDescent="0.35">
      <c r="A16" s="131"/>
      <c r="B16" s="156"/>
      <c r="C16" s="22" t="str">
        <f t="shared" si="2"/>
        <v>SMI 1.5</v>
      </c>
      <c r="D16" s="11">
        <f t="shared" si="2"/>
        <v>64.800000000000011</v>
      </c>
      <c r="E16" s="11">
        <f t="shared" si="10"/>
        <v>48.600000000000009</v>
      </c>
      <c r="F16" s="135"/>
      <c r="G16" s="140">
        <f>IF(G12+G13+G14+G15=F12,0,IF('Period RSL data'!D9-G10&lt;'Charging RSL Spilt per grade'!F12-(G12+G13+G14+G15),'Period RSL data'!D9-G10,'Charging RSL Spilt per grade'!F12-('Charging RSL Spilt per grade'!G12+G13+G14+G15)))</f>
        <v>0</v>
      </c>
      <c r="H16" s="135"/>
      <c r="I16" s="140">
        <f>IF(I12+I13+I14+I15=H12,0,IF('Period RSL data'!E9-I10&lt;'Charging RSL Spilt per grade'!H12-(I12+I13+I14+I15),'Period RSL data'!E9-I10,'Charging RSL Spilt per grade'!H12-('Charging RSL Spilt per grade'!I12+I13+I14+I15)))</f>
        <v>0</v>
      </c>
      <c r="J16" s="135"/>
      <c r="K16" s="140">
        <f>IF(K12+K13+K14+K15=J12,0,IF('Period RSL data'!F9-K10&lt;'Charging RSL Spilt per grade'!J12-(K12+K13+K14+K15),'Period RSL data'!F9-K10,'Charging RSL Spilt per grade'!J12-('Charging RSL Spilt per grade'!K12+K13+K14+K15)))</f>
        <v>0</v>
      </c>
      <c r="L16" s="135"/>
      <c r="M16" s="140">
        <f>IF(M12+M13+M14+M15=L12,0,IF('Period RSL data'!G9-M10&lt;'Charging RSL Spilt per grade'!L12-(M12+M13+M14+M15),'Period RSL data'!G9-M10,'Charging RSL Spilt per grade'!L12-('Charging RSL Spilt per grade'!M12+M13+M14+M15)))</f>
        <v>0</v>
      </c>
      <c r="N16" s="135"/>
      <c r="O16" s="140">
        <f>IF(O12+O13+O14+O15=N12,0,IF('Period RSL data'!H9-O10&lt;'Charging RSL Spilt per grade'!N12-(O12+O13+O14+O15),'Period RSL data'!H9-O10,'Charging RSL Spilt per grade'!N12-('Charging RSL Spilt per grade'!O12+O13+O14+O15)))</f>
        <v>0</v>
      </c>
      <c r="P16" s="135"/>
      <c r="Q16" s="140">
        <f>IF(Q12+Q13+Q14+Q15=P12,0,IF('Period RSL data'!I9-Q10&lt;'Charging RSL Spilt per grade'!P12-(Q12+Q13+Q14+Q15),'Period RSL data'!I9-Q10,'Charging RSL Spilt per grade'!P12-('Charging RSL Spilt per grade'!Q12+Q13+Q14+Q15)))</f>
        <v>0</v>
      </c>
      <c r="R16" s="135"/>
      <c r="S16" s="140">
        <f>IF(S12+S13+S14+S15=R12,0,IF('Period RSL data'!J9-S10&lt;'Charging RSL Spilt per grade'!R12-(S12+S13+S14+S15),'Period RSL data'!J9-S10,'Charging RSL Spilt per grade'!R12-('Charging RSL Spilt per grade'!S12+S13+S14+S15)))</f>
        <v>0</v>
      </c>
      <c r="T16" s="135"/>
      <c r="U16" s="140">
        <f>IF(U12+U13+U14+U15=T12,0,IF('Period RSL data'!K9-U10&lt;'Charging RSL Spilt per grade'!T12-(U12+U13+U14+U15),'Period RSL data'!K9-U10,'Charging RSL Spilt per grade'!T12-('Charging RSL Spilt per grade'!U12+U13+U14+U15)))</f>
        <v>0</v>
      </c>
      <c r="V16" s="135"/>
      <c r="W16" s="140">
        <f>IF(W12+W13+W14+W15=V12,0,IF('Period RSL data'!L9-W10&lt;'Charging RSL Spilt per grade'!V12-(W12+W13+W14+W15),'Period RSL data'!L9-W10,'Charging RSL Spilt per grade'!V12-('Charging RSL Spilt per grade'!W12+W13+W14+W15)))</f>
        <v>0</v>
      </c>
      <c r="X16" s="135"/>
      <c r="Y16" s="140">
        <f>IF(Y12+Y13+Y14+Y15=X12,0,IF('Period RSL data'!M9-Y10&lt;'Charging RSL Spilt per grade'!X12-(Y12+Y13+Y14+Y15),'Period RSL data'!M9-Y10,'Charging RSL Spilt per grade'!X12-('Charging RSL Spilt per grade'!Y12+Y13+Y14+Y15)))</f>
        <v>0</v>
      </c>
      <c r="Z16" s="135"/>
      <c r="AA16" s="140">
        <f>IF(AA12+AA13+AA14+AA15=Z12,0,IF('Period RSL data'!N9-AA10&lt;'Charging RSL Spilt per grade'!Z12-(AA12+AA13+AA14+AA15),'Period RSL data'!N9-AA10,'Charging RSL Spilt per grade'!Z12-('Charging RSL Spilt per grade'!AA12+AA13+AA14+AA15)))</f>
        <v>0</v>
      </c>
      <c r="AB16" s="135"/>
      <c r="AC16" s="140">
        <f>IF(AC12+AC13+AC14+AC15=AB12,0,IF('Period RSL data'!O9-AC10&lt;'Charging RSL Spilt per grade'!AB12-(AC12+AC13+AC14+AC15),'Period RSL data'!O9-AC10,'Charging RSL Spilt per grade'!AB12-('Charging RSL Spilt per grade'!AC12+AC13+AC14+AC15)))</f>
        <v>0</v>
      </c>
      <c r="AD16" s="136">
        <f t="shared" si="1"/>
        <v>0</v>
      </c>
    </row>
    <row r="17" spans="1:30" x14ac:dyDescent="0.35">
      <c r="A17" s="131"/>
      <c r="B17" s="156"/>
      <c r="C17" s="22" t="str">
        <f t="shared" si="2"/>
        <v>SMI Dbl</v>
      </c>
      <c r="D17" s="11">
        <f t="shared" si="2"/>
        <v>86.4</v>
      </c>
      <c r="E17" s="11">
        <f t="shared" si="10"/>
        <v>64.800000000000011</v>
      </c>
      <c r="F17" s="135"/>
      <c r="G17" s="141">
        <f>IF(G12+G13+G14+G15+G16=F12,0,IF('Period RSL data'!D10-G11&lt;'Charging RSL Spilt per grade'!F12-(G12+G13+G14+G15+G16),'Period RSL data'!D10-G11,'Charging RSL Spilt per grade'!F12-('Charging RSL Spilt per grade'!G12+G13+G14+G15+G16)))</f>
        <v>0</v>
      </c>
      <c r="H17" s="135"/>
      <c r="I17" s="141">
        <f>IF(I12+I13+I14+I15+I16=H12,0,IF('Period RSL data'!E10-I11&lt;'Charging RSL Spilt per grade'!H12-(I12+I13+I14+I15+I16),'Period RSL data'!E10-I11,'Charging RSL Spilt per grade'!H12-('Charging RSL Spilt per grade'!I12+I13+I14+I15+I16)))</f>
        <v>0</v>
      </c>
      <c r="J17" s="135"/>
      <c r="K17" s="141">
        <f>IF(K12+K13+K14+K15+K16=J12,0,IF('Period RSL data'!F10-K11&lt;'Charging RSL Spilt per grade'!J12-(K12+K13+K14+K15+K16),'Period RSL data'!F10-K11,'Charging RSL Spilt per grade'!J12-('Charging RSL Spilt per grade'!K12+K13+K14+K15+K16)))</f>
        <v>0</v>
      </c>
      <c r="L17" s="135"/>
      <c r="M17" s="141">
        <f>IF(M12+M13+M14+M15+M16=L12,0,IF('Period RSL data'!G10-M11&lt;'Charging RSL Spilt per grade'!L12-(M12+M13+M14+M15+M16),'Period RSL data'!G10-M11,'Charging RSL Spilt per grade'!L12-('Charging RSL Spilt per grade'!M12+M13+M14+M15+M16)))</f>
        <v>0</v>
      </c>
      <c r="N17" s="135"/>
      <c r="O17" s="141">
        <f>IF(O12+O13+O14+O15+O16=N12,0,IF('Period RSL data'!H10-O11&lt;'Charging RSL Spilt per grade'!N12-(O12+O13+O14+O15+O16),'Period RSL data'!H10-O11,'Charging RSL Spilt per grade'!N12-('Charging RSL Spilt per grade'!O12+O13+O14+O15+O16)))</f>
        <v>0</v>
      </c>
      <c r="P17" s="135"/>
      <c r="Q17" s="141">
        <f>IF(Q12+Q13+Q14+Q15+Q16=P12,0,IF('Period RSL data'!I10-Q11&lt;'Charging RSL Spilt per grade'!P12-(Q12+Q13+Q14+Q15+Q16),'Period RSL data'!I10-Q11,'Charging RSL Spilt per grade'!P12-('Charging RSL Spilt per grade'!Q12+Q13+Q14+Q15+Q16)))</f>
        <v>0</v>
      </c>
      <c r="R17" s="135"/>
      <c r="S17" s="141">
        <f>IF(S12+S13+S14+S15+S16=R12,0,IF('Period RSL data'!J10-S11&lt;'Charging RSL Spilt per grade'!R12-(S12+S13+S14+S15+S16),'Period RSL data'!J10-S11,'Charging RSL Spilt per grade'!R12-('Charging RSL Spilt per grade'!S12+S13+S14+S15+S16)))</f>
        <v>0</v>
      </c>
      <c r="T17" s="135"/>
      <c r="U17" s="141">
        <f>IF(U12+U13+U14+U15+U16=T12,0,IF('Period RSL data'!K10-U11&lt;'Charging RSL Spilt per grade'!T12-(U12+U13+U14+U15+U16),'Period RSL data'!K10-U11,'Charging RSL Spilt per grade'!T12-('Charging RSL Spilt per grade'!U12+U13+U14+U15+U16)))</f>
        <v>0</v>
      </c>
      <c r="V17" s="135"/>
      <c r="W17" s="141">
        <f>IF(W12+W13+W14+W15+W16=V12,0,IF('Period RSL data'!L10-W11&lt;'Charging RSL Spilt per grade'!V12-(W12+W13+W14+W15+W16),'Period RSL data'!L10-W11,'Charging RSL Spilt per grade'!V12-('Charging RSL Spilt per grade'!W12+W13+W14+W15+W16)))</f>
        <v>0</v>
      </c>
      <c r="X17" s="135"/>
      <c r="Y17" s="141">
        <f>IF(Y12+Y13+Y14+Y15+Y16=X12,0,IF('Period RSL data'!M10-Y11&lt;'Charging RSL Spilt per grade'!X12-(Y12+Y13+Y14+Y15+Y16),'Period RSL data'!M10-Y11,'Charging RSL Spilt per grade'!X12-('Charging RSL Spilt per grade'!Y12+Y13+Y14+Y15+Y16)))</f>
        <v>0</v>
      </c>
      <c r="Z17" s="135"/>
      <c r="AA17" s="141">
        <f>IF(AA12+AA13+AA14+AA15+AA16=Z12,0,IF('Period RSL data'!N10-AA11&lt;'Charging RSL Spilt per grade'!Z12-(AA12+AA13+AA14+AA15+AA16),'Period RSL data'!N10-AA11,'Charging RSL Spilt per grade'!Z12-('Charging RSL Spilt per grade'!AA12+AA13+AA14+AA15+AA16)))</f>
        <v>0</v>
      </c>
      <c r="AB17" s="135"/>
      <c r="AC17" s="141">
        <f>IF(AC12+AC13+AC14+AC15+AC16=AB12,0,IF('Period RSL data'!O10-AC11&lt;'Charging RSL Spilt per grade'!AB12-(AC12+AC13+AC14+AC15+AC16),'Period RSL data'!O10-AC11,'Charging RSL Spilt per grade'!AB12-('Charging RSL Spilt per grade'!AC12+AC13+AC14+AC15+AC16)))</f>
        <v>0</v>
      </c>
      <c r="AD17" s="136">
        <f t="shared" si="1"/>
        <v>0</v>
      </c>
    </row>
    <row r="18" spans="1:30" x14ac:dyDescent="0.35">
      <c r="A18" s="131">
        <v>3</v>
      </c>
      <c r="B18" s="156">
        <f>'Annual data (rates, Bands, disc'!E5</f>
        <v>0.17</v>
      </c>
      <c r="C18" s="22" t="str">
        <f t="shared" ref="C18:C23" si="11">C6</f>
        <v>OV Single</v>
      </c>
      <c r="D18" s="11">
        <f t="shared" ref="D18:D41" si="12">D12</f>
        <v>65.900000000000006</v>
      </c>
      <c r="E18" s="11">
        <f>D18*$B$18</f>
        <v>11.203000000000001</v>
      </c>
      <c r="F18" s="133">
        <f>'Annual data (rates, Bands, disc'!H5/12</f>
        <v>174.5</v>
      </c>
      <c r="G18" s="134">
        <f>IF('Period RSL data'!D5-('Charging RSL Spilt per grade'!G6+G12)&lt;0,0,IF('Period RSL data'!D5-('Charging RSL Spilt per grade'!G6+G12)&gt;'Charging RSL Spilt per grade'!F18,'Charging RSL Spilt per grade'!F18,'Period RSL data'!D5-('Charging RSL Spilt per grade'!G6+G12)))</f>
        <v>0</v>
      </c>
      <c r="H18" s="135">
        <f>(F18-(G18+G19+G20+G21+G22+G23))+F18</f>
        <v>349</v>
      </c>
      <c r="I18" s="134">
        <f>IF('Period RSL data'!E5-('Charging RSL Spilt per grade'!I6+I12)&lt;0,0,IF('Period RSL data'!E5-('Charging RSL Spilt per grade'!I6+I12)&gt;'Charging RSL Spilt per grade'!H18,'Charging RSL Spilt per grade'!H18,'Period RSL data'!E5-('Charging RSL Spilt per grade'!I6+I12)))</f>
        <v>0</v>
      </c>
      <c r="J18" s="135">
        <f>(H18-(I18+I19+I20+I21+I22+I23))+F18</f>
        <v>523.5</v>
      </c>
      <c r="K18" s="134">
        <f>IF('Period RSL data'!F5-('Charging RSL Spilt per grade'!K6+K12)&lt;0,0,IF('Period RSL data'!F5-('Charging RSL Spilt per grade'!K6+K12)&gt;'Charging RSL Spilt per grade'!J18,'Charging RSL Spilt per grade'!J18,'Period RSL data'!F5-('Charging RSL Spilt per grade'!K6+K12)))</f>
        <v>0</v>
      </c>
      <c r="L18" s="135">
        <f>(J18-(K18+K19+K20+K21+K22+K23))+F18</f>
        <v>698</v>
      </c>
      <c r="M18" s="134">
        <f>IF('Period RSL data'!G5-('Charging RSL Spilt per grade'!M6+M12)&lt;0,0,IF('Period RSL data'!G5-('Charging RSL Spilt per grade'!M6+M12)&gt;'Charging RSL Spilt per grade'!L18,'Charging RSL Spilt per grade'!L18,'Period RSL data'!G5-('Charging RSL Spilt per grade'!M6+M12)))</f>
        <v>0</v>
      </c>
      <c r="N18" s="135">
        <f>(L18-(M18+M19+M20+M21+M22+M23))+F18</f>
        <v>872.5</v>
      </c>
      <c r="O18" s="134">
        <f>IF('Period RSL data'!H5-('Charging RSL Spilt per grade'!O6+O12)&lt;0,0,IF('Period RSL data'!H5-('Charging RSL Spilt per grade'!O6+O12)&gt;'Charging RSL Spilt per grade'!N18,'Charging RSL Spilt per grade'!N18,'Period RSL data'!H5-('Charging RSL Spilt per grade'!O6+O12)))</f>
        <v>0</v>
      </c>
      <c r="P18" s="135">
        <f t="shared" si="3"/>
        <v>1047</v>
      </c>
      <c r="Q18" s="134">
        <f>IF('Period RSL data'!I5-('Charging RSL Spilt per grade'!Q6+Q12)&lt;0,0,IF('Period RSL data'!I5-('Charging RSL Spilt per grade'!Q6+Q12)&gt;'Charging RSL Spilt per grade'!P18,'Charging RSL Spilt per grade'!P18,'Period RSL data'!I5-('Charging RSL Spilt per grade'!Q6+Q12)))</f>
        <v>0</v>
      </c>
      <c r="R18" s="135">
        <f t="shared" si="4"/>
        <v>1221.5</v>
      </c>
      <c r="S18" s="134">
        <f>IF('Period RSL data'!J5-('Charging RSL Spilt per grade'!S6+S12)&lt;0,0,IF('Period RSL data'!J5-('Charging RSL Spilt per grade'!S6+S12)&gt;'Charging RSL Spilt per grade'!R18,'Charging RSL Spilt per grade'!R18,'Period RSL data'!J5-('Charging RSL Spilt per grade'!S6+S12)))</f>
        <v>0</v>
      </c>
      <c r="T18" s="135">
        <f t="shared" si="5"/>
        <v>1396</v>
      </c>
      <c r="U18" s="134">
        <f>IF('Period RSL data'!K5-('Charging RSL Spilt per grade'!U6+U12)&lt;0,0,IF('Period RSL data'!K5-('Charging RSL Spilt per grade'!U6+U12)&gt;'Charging RSL Spilt per grade'!T18,'Charging RSL Spilt per grade'!T18,'Period RSL data'!K5-('Charging RSL Spilt per grade'!U6+U12)))</f>
        <v>0</v>
      </c>
      <c r="V18" s="135">
        <f t="shared" si="6"/>
        <v>1570.5</v>
      </c>
      <c r="W18" s="134">
        <f>IF('Period RSL data'!L5-('Charging RSL Spilt per grade'!W6+W12)&lt;0,0,IF('Period RSL data'!L5-('Charging RSL Spilt per grade'!W6+W12)&gt;'Charging RSL Spilt per grade'!V18,'Charging RSL Spilt per grade'!V18,'Period RSL data'!L5-('Charging RSL Spilt per grade'!W6+W12)))</f>
        <v>0</v>
      </c>
      <c r="X18" s="135">
        <f t="shared" si="7"/>
        <v>1745</v>
      </c>
      <c r="Y18" s="134">
        <f>IF('Period RSL data'!M5-('Charging RSL Spilt per grade'!Y6+Y12)&lt;0,0,IF('Period RSL data'!M5-('Charging RSL Spilt per grade'!Y6+Y12)&gt;'Charging RSL Spilt per grade'!X18,'Charging RSL Spilt per grade'!X18,'Period RSL data'!M5-('Charging RSL Spilt per grade'!Y6+Y12)))</f>
        <v>0</v>
      </c>
      <c r="Z18" s="135">
        <f t="shared" si="8"/>
        <v>1919.5</v>
      </c>
      <c r="AA18" s="134">
        <f>IF('Period RSL data'!N5-('Charging RSL Spilt per grade'!AA6+AA12)&lt;0,0,IF('Period RSL data'!N5-('Charging RSL Spilt per grade'!AA6+AA12)&gt;'Charging RSL Spilt per grade'!Z18,'Charging RSL Spilt per grade'!Z18,'Period RSL data'!N5-('Charging RSL Spilt per grade'!AA6+AA12)))</f>
        <v>0</v>
      </c>
      <c r="AB18" s="135">
        <f t="shared" si="9"/>
        <v>2094</v>
      </c>
      <c r="AC18" s="134">
        <f>IF('Period RSL data'!O5-('Charging RSL Spilt per grade'!AC6+AC12)&lt;0,0,IF('Period RSL data'!O5-('Charging RSL Spilt per grade'!AC6+AC12)&gt;'Charging RSL Spilt per grade'!AB18,'Charging RSL Spilt per grade'!AB18,'Period RSL data'!O5-('Charging RSL Spilt per grade'!AC6+AC12)))</f>
        <v>0</v>
      </c>
      <c r="AD18" s="136">
        <f t="shared" si="1"/>
        <v>0</v>
      </c>
    </row>
    <row r="19" spans="1:30" x14ac:dyDescent="0.35">
      <c r="A19" s="131"/>
      <c r="B19" s="156"/>
      <c r="C19" s="22" t="str">
        <f t="shared" si="11"/>
        <v>OV 1.5</v>
      </c>
      <c r="D19" s="11">
        <f t="shared" si="12"/>
        <v>98.850000000000009</v>
      </c>
      <c r="E19" s="11">
        <f t="shared" ref="E19:E23" si="13">D19*$B$18</f>
        <v>16.804500000000004</v>
      </c>
      <c r="F19" s="142"/>
      <c r="G19" s="137">
        <f>IF(G18=F18,0,IF('Period RSL data'!D6-G13-G7&lt;'Charging RSL Spilt per grade'!F18-G18,'Period RSL data'!D6-G13-G7,'Charging RSL Spilt per grade'!F18-'Charging RSL Spilt per grade'!G18))</f>
        <v>0</v>
      </c>
      <c r="H19" s="135"/>
      <c r="I19" s="137">
        <f>IF(I18=H18,0,IF('Period RSL data'!E6-I13-I7&lt;'Charging RSL Spilt per grade'!H18-I18,'Period RSL data'!E6-I13-I7,'Charging RSL Spilt per grade'!H18-'Charging RSL Spilt per grade'!I18))</f>
        <v>0</v>
      </c>
      <c r="J19" s="135"/>
      <c r="K19" s="137">
        <f>IF(K18=J18,0,IF('Period RSL data'!F6-K13-K7&lt;'Charging RSL Spilt per grade'!J18-K18,'Period RSL data'!F6-K13-K7,'Charging RSL Spilt per grade'!J18-'Charging RSL Spilt per grade'!K18))</f>
        <v>0</v>
      </c>
      <c r="L19" s="135"/>
      <c r="M19" s="137">
        <f>IF(M18=L18,0,IF('Period RSL data'!G6-M13-M7&lt;'Charging RSL Spilt per grade'!L18-M18,'Period RSL data'!G6-M13-M7,'Charging RSL Spilt per grade'!L18-'Charging RSL Spilt per grade'!M18))</f>
        <v>0</v>
      </c>
      <c r="N19" s="135"/>
      <c r="O19" s="137">
        <f>IF(O18=N18,0,IF('Period RSL data'!H6-O13-O7&lt;'Charging RSL Spilt per grade'!N18-O18,'Period RSL data'!H6-O13-O7,'Charging RSL Spilt per grade'!N18-'Charging RSL Spilt per grade'!O18))</f>
        <v>0</v>
      </c>
      <c r="P19" s="135"/>
      <c r="Q19" s="137">
        <f>IF(Q18=P18,0,IF('Period RSL data'!I6-Q13-Q7&lt;'Charging RSL Spilt per grade'!P18-Q18,'Period RSL data'!I6-Q13-Q7,'Charging RSL Spilt per grade'!P18-'Charging RSL Spilt per grade'!Q18))</f>
        <v>0</v>
      </c>
      <c r="R19" s="135"/>
      <c r="S19" s="137">
        <f>IF(S18=R18,0,IF('Period RSL data'!J6-S13-S7&lt;'Charging RSL Spilt per grade'!R18-S18,'Period RSL data'!J6-S13-S7,'Charging RSL Spilt per grade'!R18-'Charging RSL Spilt per grade'!S18))</f>
        <v>0</v>
      </c>
      <c r="T19" s="135"/>
      <c r="U19" s="137">
        <f>IF(U18=T18,0,IF('Period RSL data'!K6-U13-U7&lt;'Charging RSL Spilt per grade'!T18-U18,'Period RSL data'!K6-U13-U7,'Charging RSL Spilt per grade'!T18-'Charging RSL Spilt per grade'!U18))</f>
        <v>0</v>
      </c>
      <c r="V19" s="135"/>
      <c r="W19" s="137">
        <f>IF(W18=V18,0,IF('Period RSL data'!L6-W13-W7&lt;'Charging RSL Spilt per grade'!V18-W18,'Period RSL data'!L6-W13-W7,'Charging RSL Spilt per grade'!V18-'Charging RSL Spilt per grade'!W18))</f>
        <v>0</v>
      </c>
      <c r="X19" s="135"/>
      <c r="Y19" s="137">
        <f>IF(Y18=X18,0,IF('Period RSL data'!M6-Y13-Y7&lt;'Charging RSL Spilt per grade'!X18-Y18,'Period RSL data'!M6-Y13-Y7,'Charging RSL Spilt per grade'!X18-'Charging RSL Spilt per grade'!Y18))</f>
        <v>0</v>
      </c>
      <c r="Z19" s="135"/>
      <c r="AA19" s="137">
        <f>IF(AA18=Z18,0,IF('Period RSL data'!N6-AA13-AA7&lt;'Charging RSL Spilt per grade'!Z18-AA18,'Period RSL data'!N6-AA13-AA7,'Charging RSL Spilt per grade'!Z18-'Charging RSL Spilt per grade'!AA18))</f>
        <v>0</v>
      </c>
      <c r="AB19" s="135"/>
      <c r="AC19" s="137">
        <f>IF(AC18=AB18,0,IF('Period RSL data'!O6-AC13-AC7&lt;'Charging RSL Spilt per grade'!AB18-AC18,'Period RSL data'!O6-AC13-AC7,'Charging RSL Spilt per grade'!AB18-'Charging RSL Spilt per grade'!AC18))</f>
        <v>0</v>
      </c>
      <c r="AD19" s="136">
        <f t="shared" si="1"/>
        <v>0</v>
      </c>
    </row>
    <row r="20" spans="1:30" x14ac:dyDescent="0.35">
      <c r="A20" s="131"/>
      <c r="B20" s="156"/>
      <c r="C20" s="22" t="str">
        <f t="shared" si="11"/>
        <v>OV Dbl</v>
      </c>
      <c r="D20" s="11">
        <f t="shared" si="12"/>
        <v>131.80000000000001</v>
      </c>
      <c r="E20" s="11">
        <f t="shared" si="13"/>
        <v>22.406000000000002</v>
      </c>
      <c r="F20" s="142"/>
      <c r="G20" s="138">
        <f>IF(G18+G19=F18,0,IF('Period RSL data'!D7-G8-G14&lt;'Charging RSL Spilt per grade'!F18-(G18+G19),'Period RSL data'!D7-G8-G14,'Charging RSL Spilt per grade'!F18-('Charging RSL Spilt per grade'!G18+G19)))</f>
        <v>0</v>
      </c>
      <c r="H20" s="135"/>
      <c r="I20" s="138">
        <f>IF(I18+I19=H18,0,IF('Period RSL data'!E7-I8-I14&lt;'Charging RSL Spilt per grade'!H18-(I18+I19),'Period RSL data'!E7-I8-I14,'Charging RSL Spilt per grade'!H18-('Charging RSL Spilt per grade'!I18+I19)))</f>
        <v>0</v>
      </c>
      <c r="J20" s="135"/>
      <c r="K20" s="138">
        <f>IF(K18+K19=J18,0,IF('Period RSL data'!F7-K8-K14&lt;'Charging RSL Spilt per grade'!J18-(K18+K19),'Period RSL data'!F7-K8-K14,'Charging RSL Spilt per grade'!J18-('Charging RSL Spilt per grade'!K18+K19)))</f>
        <v>0</v>
      </c>
      <c r="L20" s="135"/>
      <c r="M20" s="138">
        <f>IF(M18+M19=L18,0,IF('Period RSL data'!G7-M8-M14&lt;'Charging RSL Spilt per grade'!L18-(M18+M19),'Period RSL data'!G7-M8-M14,'Charging RSL Spilt per grade'!L18-('Charging RSL Spilt per grade'!M18+M19)))</f>
        <v>0</v>
      </c>
      <c r="N20" s="135"/>
      <c r="O20" s="138">
        <f>IF(O18+O19=N18,0,IF('Period RSL data'!H7-O8-O14&lt;'Charging RSL Spilt per grade'!N18-(O18+O19),'Period RSL data'!H7-O8-O14,'Charging RSL Spilt per grade'!N18-('Charging RSL Spilt per grade'!O18+O19)))</f>
        <v>0</v>
      </c>
      <c r="P20" s="135"/>
      <c r="Q20" s="138">
        <f>IF(Q18+Q19=P18,0,IF('Period RSL data'!I7-Q8-Q14&lt;'Charging RSL Spilt per grade'!P18-(Q18+Q19),'Period RSL data'!I7-Q8-Q14,'Charging RSL Spilt per grade'!P18-('Charging RSL Spilt per grade'!Q18+Q19)))</f>
        <v>0</v>
      </c>
      <c r="R20" s="135"/>
      <c r="S20" s="138">
        <f>IF(S18+S19=R18,0,IF('Period RSL data'!J7-S8-S14&lt;'Charging RSL Spilt per grade'!R18-(S18+S19),'Period RSL data'!J7-S8-S14,'Charging RSL Spilt per grade'!R18-('Charging RSL Spilt per grade'!S18+S19)))</f>
        <v>0</v>
      </c>
      <c r="T20" s="135"/>
      <c r="U20" s="138">
        <f>IF(U18+U19=T18,0,IF('Period RSL data'!K7-U8-U14&lt;'Charging RSL Spilt per grade'!T18-(U18+U19),'Period RSL data'!K7-U8-U14,'Charging RSL Spilt per grade'!T18-('Charging RSL Spilt per grade'!U18+U19)))</f>
        <v>0</v>
      </c>
      <c r="V20" s="135"/>
      <c r="W20" s="138">
        <f>IF(W18+W19=V18,0,IF('Period RSL data'!L7-W8-W14&lt;'Charging RSL Spilt per grade'!V18-(W18+W19),'Period RSL data'!L7-W8-W14,'Charging RSL Spilt per grade'!V18-('Charging RSL Spilt per grade'!W18+W19)))</f>
        <v>0</v>
      </c>
      <c r="X20" s="135"/>
      <c r="Y20" s="138">
        <f>IF(Y18+Y19=X18,0,IF('Period RSL data'!M7-Y8-Y14&lt;'Charging RSL Spilt per grade'!X18-(Y18+Y19),'Period RSL data'!M7-Y8-Y14,'Charging RSL Spilt per grade'!X18-('Charging RSL Spilt per grade'!Y18+Y19)))</f>
        <v>0</v>
      </c>
      <c r="Z20" s="135"/>
      <c r="AA20" s="138">
        <f>IF(AA18+AA19=Z18,0,IF('Period RSL data'!N7-AA8-AA14&lt;'Charging RSL Spilt per grade'!Z18-(AA18+AA19),'Period RSL data'!N7-AA8-AA14,'Charging RSL Spilt per grade'!Z18-('Charging RSL Spilt per grade'!AA18+AA19)))</f>
        <v>0</v>
      </c>
      <c r="AB20" s="135"/>
      <c r="AC20" s="138">
        <f>IF(AC18+AC19=AB18,0,IF('Period RSL data'!O7-AC8-AC14&lt;'Charging RSL Spilt per grade'!AB18-(AC18+AC19),'Period RSL data'!O7-AC8-AC14,'Charging RSL Spilt per grade'!AB18-('Charging RSL Spilt per grade'!AC18+AC19)))</f>
        <v>0</v>
      </c>
      <c r="AD20" s="136">
        <f t="shared" si="1"/>
        <v>0</v>
      </c>
    </row>
    <row r="21" spans="1:30" x14ac:dyDescent="0.35">
      <c r="A21" s="131"/>
      <c r="B21" s="156"/>
      <c r="C21" s="22" t="str">
        <f t="shared" si="11"/>
        <v>SMI Single</v>
      </c>
      <c r="D21" s="11">
        <f t="shared" si="12"/>
        <v>43.2</v>
      </c>
      <c r="E21" s="11">
        <f t="shared" si="13"/>
        <v>7.3440000000000012</v>
      </c>
      <c r="F21" s="142"/>
      <c r="G21" s="17">
        <f>IF(G18+G19+G20=F18,0,IF('Period RSL data'!D8-(G9+G15)&lt;'Charging RSL Spilt per grade'!F18-(G18+G19+G20),'Period RSL data'!D8-G9-G15,'Charging RSL Spilt per grade'!F18-('Charging RSL Spilt per grade'!G18+G19+G20)))</f>
        <v>0</v>
      </c>
      <c r="H21" s="135"/>
      <c r="I21" s="17">
        <f>IF(I18+I19+I20=H18,0,IF('Period RSL data'!E8-(I9+I15)&lt;'Charging RSL Spilt per grade'!H18-(I18+I19+I20),'Period RSL data'!E8-I9-I15,'Charging RSL Spilt per grade'!H18-('Charging RSL Spilt per grade'!I18+I19+I20)))</f>
        <v>0</v>
      </c>
      <c r="J21" s="135"/>
      <c r="K21" s="139">
        <f>IF(K18+K19+K20=J18,0,IF('Period RSL data'!F8-K9-K15&lt;'Charging RSL Spilt per grade'!J18-(K18+K19+K20),'Period RSL data'!F8-K9-K15,'Charging RSL Spilt per grade'!J18-('Charging RSL Spilt per grade'!K18+K19+K20)))</f>
        <v>0</v>
      </c>
      <c r="L21" s="135"/>
      <c r="M21" s="139">
        <f>IF(M18+M19+M20=L18,0,IF('Period RSL data'!G8-M9-M15&lt;'Charging RSL Spilt per grade'!L18-(M18+M19+M20),'Period RSL data'!G8-M9-M15,'Charging RSL Spilt per grade'!L18-('Charging RSL Spilt per grade'!M18+M19+M20)))</f>
        <v>0</v>
      </c>
      <c r="N21" s="135"/>
      <c r="O21" s="139">
        <f>IF(O18+O19+O20=N18,0,IF('Period RSL data'!H8-O9-O15&lt;'Charging RSL Spilt per grade'!N18-(O18+O19+O20),'Period RSL data'!H8-O9-O15,'Charging RSL Spilt per grade'!N18-('Charging RSL Spilt per grade'!O18+O19+O20)))</f>
        <v>0</v>
      </c>
      <c r="P21" s="135"/>
      <c r="Q21" s="139">
        <f>IF(Q18+Q19+Q20=P18,0,IF('Period RSL data'!I8-Q9-Q15&lt;'Charging RSL Spilt per grade'!P18-(Q18+Q19+Q20),'Period RSL data'!I8-Q9-Q15,'Charging RSL Spilt per grade'!P18-('Charging RSL Spilt per grade'!Q18+Q19+Q20)))</f>
        <v>0</v>
      </c>
      <c r="R21" s="135"/>
      <c r="S21" s="139">
        <f>IF(S18+S19+S20=R18,0,IF('Period RSL data'!J8-S9-S15&lt;'Charging RSL Spilt per grade'!R18-(S18+S19+S20),'Period RSL data'!J8-S9-S15,'Charging RSL Spilt per grade'!R18-('Charging RSL Spilt per grade'!S18+S19+S20)))</f>
        <v>0</v>
      </c>
      <c r="T21" s="135"/>
      <c r="U21" s="139">
        <f>IF(U18+U19+U20=T18,0,IF('Period RSL data'!K8-U9-U15&lt;'Charging RSL Spilt per grade'!T18-(U18+U19+U20),'Period RSL data'!K8-U9-U15,'Charging RSL Spilt per grade'!T18-('Charging RSL Spilt per grade'!U18+U19+U20)))</f>
        <v>0</v>
      </c>
      <c r="V21" s="135"/>
      <c r="W21" s="139">
        <f>IF(W18+W19+W20=V18,0,IF('Period RSL data'!L8-W9-W15&lt;'Charging RSL Spilt per grade'!V18-(W18+W19+W20),'Period RSL data'!L8-W9-W15,'Charging RSL Spilt per grade'!V18-('Charging RSL Spilt per grade'!W18+W19+W20)))</f>
        <v>0</v>
      </c>
      <c r="X21" s="135"/>
      <c r="Y21" s="139">
        <f>IF(Y18+Y19+Y20=X18,0,IF('Period RSL data'!M8-Y9-Y15&lt;'Charging RSL Spilt per grade'!X18-(Y18+Y19+Y20),'Period RSL data'!M8-Y9-Y15,'Charging RSL Spilt per grade'!X18-('Charging RSL Spilt per grade'!Y18+Y19+Y20)))</f>
        <v>0</v>
      </c>
      <c r="Z21" s="135"/>
      <c r="AA21" s="139">
        <f>IF(AA18+AA19+AA20=Z18,0,IF('Period RSL data'!N8-AA9-AA15&lt;'Charging RSL Spilt per grade'!Z18-(AA18+AA19+AA20),'Period RSL data'!N8-AA9-AA15,'Charging RSL Spilt per grade'!Z18-('Charging RSL Spilt per grade'!AA18+AA19+AA20)))</f>
        <v>0</v>
      </c>
      <c r="AB21" s="135"/>
      <c r="AC21" s="139">
        <f>IF(AC18+AC19+AC20=AB18,0,IF('Period RSL data'!O8-AC9-AC15&lt;'Charging RSL Spilt per grade'!AB18-(AC18+AC19+AC20),'Period RSL data'!O8-AC9-AC15,'Charging RSL Spilt per grade'!AB18-('Charging RSL Spilt per grade'!AC18+AC19+AC20)))</f>
        <v>0</v>
      </c>
      <c r="AD21" s="136">
        <f t="shared" si="1"/>
        <v>0</v>
      </c>
    </row>
    <row r="22" spans="1:30" x14ac:dyDescent="0.35">
      <c r="A22" s="131"/>
      <c r="B22" s="156"/>
      <c r="C22" s="22" t="str">
        <f t="shared" si="11"/>
        <v>SMI 1.5</v>
      </c>
      <c r="D22" s="11">
        <f t="shared" si="12"/>
        <v>64.800000000000011</v>
      </c>
      <c r="E22" s="11">
        <f t="shared" si="13"/>
        <v>11.016000000000004</v>
      </c>
      <c r="F22" s="142"/>
      <c r="G22" s="18">
        <f>IF(G18+G19+G20+G21=F18,0,IF('Period RSL data'!D9-(G10+G16)&lt;'Charging RSL Spilt per grade'!F18-(G18+G19+G20+G21),'Period RSL data'!D9-(G10+G16),'Charging RSL Spilt per grade'!F18-('Charging RSL Spilt per grade'!G18+G19+G20+G21)))</f>
        <v>0</v>
      </c>
      <c r="H22" s="135"/>
      <c r="I22" s="18">
        <f>IF(I18+I19+I20+I21=H18,0,IF('Period RSL data'!E9-(I10+I16)&lt;'Charging RSL Spilt per grade'!H18-(I18+I19+I20+I21),'Period RSL data'!E9-(I10+I16),'Charging RSL Spilt per grade'!H18-('Charging RSL Spilt per grade'!I18+I19+I20+I21)))</f>
        <v>0</v>
      </c>
      <c r="J22" s="135"/>
      <c r="K22" s="140">
        <f>IF(K18+K19+K20+K21=J18,0,IF('Period RSL data'!F9-K10-K16&lt;'Charging RSL Spilt per grade'!J18-(K18+K19+K20+K21),'Period RSL data'!F9-K10-K16,'Charging RSL Spilt per grade'!J18-('Charging RSL Spilt per grade'!K18+K19+K20+K21)))</f>
        <v>0</v>
      </c>
      <c r="L22" s="135"/>
      <c r="M22" s="140">
        <f>IF(M18+M19+M20+M21=L18,0,IF('Period RSL data'!G9-M10-M16&lt;'Charging RSL Spilt per grade'!L18-(M18+M19+M20+M21),'Period RSL data'!G9-M10-M16,'Charging RSL Spilt per grade'!L18-('Charging RSL Spilt per grade'!M18+M19+M20+M21)))</f>
        <v>0</v>
      </c>
      <c r="N22" s="135"/>
      <c r="O22" s="140">
        <f>IF(O18+O19+O20+O21=N18,0,IF('Period RSL data'!H9-O10-O16&lt;'Charging RSL Spilt per grade'!N18-(O18+O19+O20+O21),'Period RSL data'!H9-O10-O16,'Charging RSL Spilt per grade'!N18-('Charging RSL Spilt per grade'!O18+O19+O20+O21)))</f>
        <v>0</v>
      </c>
      <c r="P22" s="135"/>
      <c r="Q22" s="140">
        <f>IF(Q18+Q19+Q20+Q21=P18,0,IF('Period RSL data'!I9-Q10-Q16&lt;'Charging RSL Spilt per grade'!P18-(Q18+Q19+Q20+Q21),'Period RSL data'!I9-Q10-Q16,'Charging RSL Spilt per grade'!P18-('Charging RSL Spilt per grade'!Q18+Q19+Q20+Q21)))</f>
        <v>0</v>
      </c>
      <c r="R22" s="135"/>
      <c r="S22" s="140">
        <f>IF(S18+S19+S20+S21=R18,0,IF('Period RSL data'!J9-S10-S16&lt;'Charging RSL Spilt per grade'!R18-(S18+S19+S20+S21),'Period RSL data'!J9-S10-S16,'Charging RSL Spilt per grade'!R18-('Charging RSL Spilt per grade'!S18+S19+S20+S21)))</f>
        <v>0</v>
      </c>
      <c r="T22" s="135"/>
      <c r="U22" s="140">
        <f>IF(U18+U19+U20+U21=T18,0,IF('Period RSL data'!K9-U10-U16&lt;'Charging RSL Spilt per grade'!T18-(U18+U19+U20+U21),'Period RSL data'!K9-U10-U16,'Charging RSL Spilt per grade'!T18-('Charging RSL Spilt per grade'!U18+U19+U20+U21)))</f>
        <v>0</v>
      </c>
      <c r="V22" s="135"/>
      <c r="W22" s="140">
        <f>IF(W18+W19+W20+W21=V18,0,IF('Period RSL data'!L9-W10-W16&lt;'Charging RSL Spilt per grade'!V18-(W18+W19+W20+W21),'Period RSL data'!L9-W10-W16,'Charging RSL Spilt per grade'!V18-('Charging RSL Spilt per grade'!W18+W19+W20+W21)))</f>
        <v>0</v>
      </c>
      <c r="X22" s="135"/>
      <c r="Y22" s="140">
        <f>IF(Y18+Y19+Y20+Y21=X18,0,IF('Period RSL data'!M9-Y10-Y16&lt;'Charging RSL Spilt per grade'!X18-(Y18+Y19+Y20+Y21),'Period RSL data'!M9-Y10-Y16,'Charging RSL Spilt per grade'!X18-('Charging RSL Spilt per grade'!Y18+Y19+Y20+Y21)))</f>
        <v>0</v>
      </c>
      <c r="Z22" s="135"/>
      <c r="AA22" s="140">
        <f>IF(AA18+AA19+AA20+AA21=Z18,0,IF('Period RSL data'!N9-AA10-AA16&lt;'Charging RSL Spilt per grade'!Z18-(AA18+AA19+AA20+AA21),'Period RSL data'!N9-AA10-AA16,'Charging RSL Spilt per grade'!Z18-('Charging RSL Spilt per grade'!AA18+AA19+AA20+AA21)))</f>
        <v>0</v>
      </c>
      <c r="AB22" s="135"/>
      <c r="AC22" s="140">
        <f>IF(AC18+AC19+AC20+AC21=AB18,0,IF('Period RSL data'!O9-AC10-AC16&lt;'Charging RSL Spilt per grade'!AB18-(AC18+AC19+AC20+AC21),'Period RSL data'!O9-AC10-AC16,'Charging RSL Spilt per grade'!AB18-('Charging RSL Spilt per grade'!AC18+AC19+AC20+AC21)))</f>
        <v>0</v>
      </c>
      <c r="AD22" s="136">
        <f t="shared" si="1"/>
        <v>0</v>
      </c>
    </row>
    <row r="23" spans="1:30" x14ac:dyDescent="0.35">
      <c r="A23" s="131"/>
      <c r="B23" s="156"/>
      <c r="C23" s="22" t="str">
        <f t="shared" si="11"/>
        <v>SMI Dbl</v>
      </c>
      <c r="D23" s="11">
        <f t="shared" si="12"/>
        <v>86.4</v>
      </c>
      <c r="E23" s="11">
        <f t="shared" si="13"/>
        <v>14.688000000000002</v>
      </c>
      <c r="F23" s="142"/>
      <c r="G23" s="19">
        <f>IF(G18+G19+G20+G21+G22=F18,0,IF('Period RSL data'!D10-(G11+G17)&lt;'Charging RSL Spilt per grade'!F18-(G18+G19+G20+G21+G22),'Period RSL data'!D10-(G11+G17),'Charging RSL Spilt per grade'!F18-('Charging RSL Spilt per grade'!G18+G19+G20+G21+G22)))</f>
        <v>0</v>
      </c>
      <c r="H23" s="135"/>
      <c r="I23" s="19">
        <f>IF(I18+I19+I20+I21+I22=H18,0,IF('Period RSL data'!E10-(I11+I17)&lt;'Charging RSL Spilt per grade'!H18-(I18+I19+I20+I21+I22),'Period RSL data'!E10-(I11+I17),'Charging RSL Spilt per grade'!H18-('Charging RSL Spilt per grade'!I18+I19+I20+I21+I22)))</f>
        <v>0</v>
      </c>
      <c r="J23" s="135"/>
      <c r="K23" s="141">
        <f>IF(K18+K19+K20+K21+K22=J18,0,IF('Period RSL data'!F10-K11-K17&lt;'Charging RSL Spilt per grade'!J18-(K18+K19+K20+K21+K22),'Period RSL data'!F10-K11-K17,'Charging RSL Spilt per grade'!J18-('Charging RSL Spilt per grade'!K18+K19+K20+K21+K22)))</f>
        <v>0</v>
      </c>
      <c r="L23" s="135"/>
      <c r="M23" s="141">
        <f>IF(M18+M19+M20+M21+M22=L18,0,IF('Period RSL data'!G10-M11-M17&lt;'Charging RSL Spilt per grade'!L18-(M18+M19+M20+M21+M22),'Period RSL data'!G10-M11-M17,'Charging RSL Spilt per grade'!L18-('Charging RSL Spilt per grade'!M18+M19+M20+M21+M22)))</f>
        <v>0</v>
      </c>
      <c r="N23" s="135"/>
      <c r="O23" s="141">
        <f>IF(O18+O19+O20+O21+O22=N18,0,IF('Period RSL data'!H10-O11-O17&lt;'Charging RSL Spilt per grade'!N18-(O18+O19+O20+O21+O22),'Period RSL data'!H10-O11-O17,'Charging RSL Spilt per grade'!N18-('Charging RSL Spilt per grade'!O18+O19+O20+O21+O22)))</f>
        <v>0</v>
      </c>
      <c r="P23" s="135"/>
      <c r="Q23" s="141">
        <f>IF(Q18+Q19+Q20+Q21+Q22=P18,0,IF('Period RSL data'!I10-Q11-Q17&lt;'Charging RSL Spilt per grade'!P18-(Q18+Q19+Q20+Q21+Q22),'Period RSL data'!I10-Q11-Q17,'Charging RSL Spilt per grade'!P18-('Charging RSL Spilt per grade'!Q18+Q19+Q20+Q21+Q22)))</f>
        <v>0</v>
      </c>
      <c r="R23" s="135"/>
      <c r="S23" s="141">
        <f>IF(S18+S19+S20+S21+S22=R18,0,IF('Period RSL data'!J10-S11-S17&lt;'Charging RSL Spilt per grade'!R18-(S18+S19+S20+S21+S22),'Period RSL data'!J10-S11-S17,'Charging RSL Spilt per grade'!R18-('Charging RSL Spilt per grade'!S18+S19+S20+S21+S22)))</f>
        <v>0</v>
      </c>
      <c r="T23" s="135"/>
      <c r="U23" s="141">
        <f>IF(U18+U19+U20+U21+U22=T18,0,IF('Period RSL data'!K10-U11-U17&lt;'Charging RSL Spilt per grade'!T18-(U18+U19+U20+U21+U22),'Period RSL data'!K10-U11-U17,'Charging RSL Spilt per grade'!T18-('Charging RSL Spilt per grade'!U18+U19+U20+U21+U22)))</f>
        <v>0</v>
      </c>
      <c r="V23" s="135"/>
      <c r="W23" s="141">
        <f>IF(W18+W19+W20+W21+W22=V18,0,IF('Period RSL data'!L10-W11-W17&lt;'Charging RSL Spilt per grade'!V18-(W18+W19+W20+W21+W22),'Period RSL data'!L10-W11-W17,'Charging RSL Spilt per grade'!V18-('Charging RSL Spilt per grade'!W18+W19+W20+W21+W22)))</f>
        <v>0</v>
      </c>
      <c r="X23" s="135"/>
      <c r="Y23" s="141">
        <f>IF(Y18+Y19+Y20+Y21+Y22=X18,0,IF('Period RSL data'!M10-Y11-Y17&lt;'Charging RSL Spilt per grade'!X18-(Y18+Y19+Y20+Y21+Y22),'Period RSL data'!M10-Y11-Y17,'Charging RSL Spilt per grade'!X18-('Charging RSL Spilt per grade'!Y18+Y19+Y20+Y21+Y22)))</f>
        <v>0</v>
      </c>
      <c r="Z23" s="135"/>
      <c r="AA23" s="141">
        <f>IF(AA18+AA19+AA20+AA21+AA22=Z18,0,IF('Period RSL data'!N10-AA11-AA17&lt;'Charging RSL Spilt per grade'!Z18-(AA18+AA19+AA20+AA21+AA22),'Period RSL data'!N10-AA11-AA17,'Charging RSL Spilt per grade'!Z18-('Charging RSL Spilt per grade'!AA18+AA19+AA20+AA21+AA22)))</f>
        <v>0</v>
      </c>
      <c r="AB23" s="135"/>
      <c r="AC23" s="141">
        <f>IF(AC18+AC19+AC20+AC21+AC22=AB18,0,IF('Period RSL data'!O10-AC11-AC17&lt;'Charging RSL Spilt per grade'!AB18-(AC18+AC19+AC20+AC21+AC22),'Period RSL data'!O10-AC11-AC17,'Charging RSL Spilt per grade'!AB18-('Charging RSL Spilt per grade'!AC18+AC19+AC20+AC21+AC22)))</f>
        <v>0</v>
      </c>
      <c r="AD23" s="136">
        <f t="shared" si="1"/>
        <v>0</v>
      </c>
    </row>
    <row r="24" spans="1:30" x14ac:dyDescent="0.35">
      <c r="A24" s="131">
        <v>4</v>
      </c>
      <c r="B24" s="156">
        <f>'Annual data (rates, Bands, disc'!E6</f>
        <v>0.06</v>
      </c>
      <c r="C24" s="22" t="str">
        <f t="shared" ref="C24:C29" si="14">C6</f>
        <v>OV Single</v>
      </c>
      <c r="D24" s="11">
        <f t="shared" si="12"/>
        <v>65.900000000000006</v>
      </c>
      <c r="E24" s="11">
        <f>D24*$B$24</f>
        <v>3.9540000000000002</v>
      </c>
      <c r="F24" s="133">
        <f>'Annual data (rates, Bands, disc'!H6/12</f>
        <v>375.5</v>
      </c>
      <c r="G24" s="134">
        <f>IF('Period RSL data'!D5-('Charging RSL Spilt per grade'!G6+G12+G18)&lt;0,0,IF('Period RSL data'!D5-('Charging RSL Spilt per grade'!G6+G12+G18)&gt;'Charging RSL Spilt per grade'!F24,'Charging RSL Spilt per grade'!F24,'Period RSL data'!D5-('Charging RSL Spilt per grade'!G6+G12+G18)))</f>
        <v>0</v>
      </c>
      <c r="H24" s="135">
        <f>(F24-(G24+G25+G26+G27+G28+G29))+F24</f>
        <v>751</v>
      </c>
      <c r="I24" s="134">
        <f>IF('Period RSL data'!E5-('Charging RSL Spilt per grade'!I6+I12+I18)&lt;0,0,IF('Period RSL data'!E5-('Charging RSL Spilt per grade'!I6+I12+I18)&gt;'Charging RSL Spilt per grade'!H24,'Charging RSL Spilt per grade'!H24,'Period RSL data'!E5-('Charging RSL Spilt per grade'!I6+I12+I18)))</f>
        <v>0</v>
      </c>
      <c r="J24" s="135">
        <f>(H24-(I24+I25+I26+I27+I28+I29))+F24</f>
        <v>1126.5</v>
      </c>
      <c r="K24" s="134">
        <f>IF('Period RSL data'!F5-('Charging RSL Spilt per grade'!K6+K12+K18)&lt;0,0,IF('Period RSL data'!F5-('Charging RSL Spilt per grade'!K6+K12+K18)&gt;'Charging RSL Spilt per grade'!J24,'Charging RSL Spilt per grade'!J24,'Period RSL data'!F5-('Charging RSL Spilt per grade'!K6+K12+K18)))</f>
        <v>0</v>
      </c>
      <c r="L24" s="135">
        <f>(J24-(K24+K25+K26+K27+K28+K29))+F24</f>
        <v>1502</v>
      </c>
      <c r="M24" s="134">
        <f>IF('Period RSL data'!G5-('Charging RSL Spilt per grade'!M6+M12+M18)&lt;0,0,IF('Period RSL data'!G5-('Charging RSL Spilt per grade'!M6+M12+M18)&gt;'Charging RSL Spilt per grade'!L24,'Charging RSL Spilt per grade'!L24,'Period RSL data'!G5-('Charging RSL Spilt per grade'!M6+M12+M18)))</f>
        <v>0</v>
      </c>
      <c r="N24" s="135">
        <f t="shared" ref="N24" si="15">(L24-(M24+M25+M26+M27+M28+M29))+F24</f>
        <v>1877.5</v>
      </c>
      <c r="O24" s="134">
        <f>IF('Period RSL data'!H5-('Charging RSL Spilt per grade'!O6+O12+O18)&lt;0,0,IF('Period RSL data'!H5-('Charging RSL Spilt per grade'!O6+O12+O18)&gt;'Charging RSL Spilt per grade'!N24,'Charging RSL Spilt per grade'!N24,'Period RSL data'!H5-('Charging RSL Spilt per grade'!O6+O12+O18)))</f>
        <v>0</v>
      </c>
      <c r="P24" s="135">
        <f t="shared" si="3"/>
        <v>2253</v>
      </c>
      <c r="Q24" s="134">
        <f>IF('Period RSL data'!I5-('Charging RSL Spilt per grade'!Q6+Q12+Q18)&lt;0,0,IF('Period RSL data'!I5-('Charging RSL Spilt per grade'!Q6+Q12+Q18)&gt;'Charging RSL Spilt per grade'!P24,'Charging RSL Spilt per grade'!P24,'Period RSL data'!I5-('Charging RSL Spilt per grade'!Q6+Q12+Q18)))</f>
        <v>0</v>
      </c>
      <c r="R24" s="135">
        <f t="shared" si="4"/>
        <v>2628.5</v>
      </c>
      <c r="S24" s="134">
        <f>IF('Period RSL data'!J5-('Charging RSL Spilt per grade'!S6+S12+S18)&lt;0,0,IF('Period RSL data'!J5-('Charging RSL Spilt per grade'!S6+S12+S18)&gt;'Charging RSL Spilt per grade'!R24,'Charging RSL Spilt per grade'!R24,'Period RSL data'!J5-('Charging RSL Spilt per grade'!S6+S12+S18)))</f>
        <v>0</v>
      </c>
      <c r="T24" s="135">
        <f t="shared" si="5"/>
        <v>3004</v>
      </c>
      <c r="U24" s="134">
        <f>IF('Period RSL data'!K5-('Charging RSL Spilt per grade'!U6+U12+U18)&lt;0,0,IF('Period RSL data'!K5-('Charging RSL Spilt per grade'!U6+U12+U18)&gt;'Charging RSL Spilt per grade'!T24,'Charging RSL Spilt per grade'!T24,'Period RSL data'!K5-('Charging RSL Spilt per grade'!U6+U12+U18)))</f>
        <v>0</v>
      </c>
      <c r="V24" s="135">
        <f t="shared" si="6"/>
        <v>3379.5</v>
      </c>
      <c r="W24" s="134">
        <f>IF('Period RSL data'!L5-('Charging RSL Spilt per grade'!W6+W12+W18)&lt;0,0,IF('Period RSL data'!L5-('Charging RSL Spilt per grade'!W6+W12+W18)&gt;'Charging RSL Spilt per grade'!V24,'Charging RSL Spilt per grade'!V24,'Period RSL data'!L5-('Charging RSL Spilt per grade'!W6+W12+W18)))</f>
        <v>0</v>
      </c>
      <c r="X24" s="135">
        <f t="shared" si="7"/>
        <v>3755</v>
      </c>
      <c r="Y24" s="134">
        <f>IF('Period RSL data'!M5-('Charging RSL Spilt per grade'!Y6+Y12+Y18)&lt;0,0,IF('Period RSL data'!M5-('Charging RSL Spilt per grade'!Y6+Y12+Y18)&gt;'Charging RSL Spilt per grade'!X24,'Charging RSL Spilt per grade'!X24,'Period RSL data'!M5-('Charging RSL Spilt per grade'!Y6+Y12+Y18)))</f>
        <v>0</v>
      </c>
      <c r="Z24" s="135">
        <f t="shared" si="8"/>
        <v>4130.5</v>
      </c>
      <c r="AA24" s="134">
        <f>IF('Period RSL data'!N5-('Charging RSL Spilt per grade'!AA6+AA12+AA18)&lt;0,0,IF('Period RSL data'!N5-('Charging RSL Spilt per grade'!AA6+AA12+AA18)&gt;'Charging RSL Spilt per grade'!Z24,'Charging RSL Spilt per grade'!Z24,'Period RSL data'!N5-('Charging RSL Spilt per grade'!AA6+AA12+AA18)))</f>
        <v>0</v>
      </c>
      <c r="AB24" s="135">
        <f t="shared" si="9"/>
        <v>4506</v>
      </c>
      <c r="AC24" s="134">
        <f>IF('Period RSL data'!O5-('Charging RSL Spilt per grade'!AC6+AC12+AC18)&lt;0,0,IF('Period RSL data'!O5-('Charging RSL Spilt per grade'!AC6+AC12+AC18)&gt;'Charging RSL Spilt per grade'!AB24,'Charging RSL Spilt per grade'!AB24,'Period RSL data'!O5-('Charging RSL Spilt per grade'!AC6+AC12+AC18)))</f>
        <v>0</v>
      </c>
      <c r="AD24" s="136">
        <f t="shared" si="1"/>
        <v>0</v>
      </c>
    </row>
    <row r="25" spans="1:30" x14ac:dyDescent="0.35">
      <c r="A25" s="131"/>
      <c r="B25" s="156"/>
      <c r="C25" s="22" t="str">
        <f t="shared" si="14"/>
        <v>OV 1.5</v>
      </c>
      <c r="D25" s="11">
        <f t="shared" si="12"/>
        <v>98.850000000000009</v>
      </c>
      <c r="E25" s="11">
        <f t="shared" ref="E25:E29" si="16">D25*$B$24</f>
        <v>5.931</v>
      </c>
      <c r="F25" s="135"/>
      <c r="G25" s="137">
        <f>IF(G24=F24,0,IF('Period RSL data'!D6-G19-G13-G7&lt;'Charging RSL Spilt per grade'!F24-G24,'Period RSL data'!D6-G19-G13-G7,'Charging RSL Spilt per grade'!F24-'Charging RSL Spilt per grade'!G24))</f>
        <v>0</v>
      </c>
      <c r="H25" s="135"/>
      <c r="I25" s="137">
        <f>IF(I24=H24,0,IF('Period RSL data'!E6-I19-I13-I7&lt;'Charging RSL Spilt per grade'!H24-I24,'Period RSL data'!E6-I19-I13-I7,'Charging RSL Spilt per grade'!H24-'Charging RSL Spilt per grade'!I24))</f>
        <v>0</v>
      </c>
      <c r="J25" s="135"/>
      <c r="K25" s="137">
        <f>IF(K24=J24,0,IF('Period RSL data'!F6-K19-K13-K7&lt;'Charging RSL Spilt per grade'!J24-K24,'Period RSL data'!F6-K19-K13-K7,'Charging RSL Spilt per grade'!J24-'Charging RSL Spilt per grade'!K24))</f>
        <v>0</v>
      </c>
      <c r="L25" s="135"/>
      <c r="M25" s="137">
        <f>IF(M24=L24,0,IF('Period RSL data'!G6-M19-M13-M7&lt;'Charging RSL Spilt per grade'!L24-M24,'Period RSL data'!G6-M19-M13-M7,'Charging RSL Spilt per grade'!L24-'Charging RSL Spilt per grade'!M24))</f>
        <v>0</v>
      </c>
      <c r="N25" s="135"/>
      <c r="O25" s="137">
        <f>IF(O24=N24,0,IF('Period RSL data'!H6-O19-O13-O7&lt;'Charging RSL Spilt per grade'!N24-O24,'Period RSL data'!H6-O19-O13-O7,'Charging RSL Spilt per grade'!N24-'Charging RSL Spilt per grade'!O24))</f>
        <v>0</v>
      </c>
      <c r="P25" s="135"/>
      <c r="Q25" s="137">
        <f>IF(Q24=P24,0,IF('Period RSL data'!I6-Q19-Q13-Q7&lt;'Charging RSL Spilt per grade'!P24-Q24,'Period RSL data'!I6-Q19-Q13-Q7,'Charging RSL Spilt per grade'!P24-'Charging RSL Spilt per grade'!Q24))</f>
        <v>0</v>
      </c>
      <c r="R25" s="135"/>
      <c r="S25" s="137">
        <f>IF(S24=R24,0,IF('Period RSL data'!J6-S19-S13-S7&lt;'Charging RSL Spilt per grade'!R24-S24,'Period RSL data'!J6-S19-S13-S7,'Charging RSL Spilt per grade'!R24-'Charging RSL Spilt per grade'!S24))</f>
        <v>0</v>
      </c>
      <c r="T25" s="135"/>
      <c r="U25" s="137">
        <f>IF(U24=T24,0,IF('Period RSL data'!K6-U19-U13-U7&lt;'Charging RSL Spilt per grade'!T24-U24,'Period RSL data'!K6-U19-U13-U7,'Charging RSL Spilt per grade'!T24-'Charging RSL Spilt per grade'!U24))</f>
        <v>0</v>
      </c>
      <c r="V25" s="135"/>
      <c r="W25" s="137">
        <f>IF(W24=V24,0,IF('Period RSL data'!L6-W19-W13-W7&lt;'Charging RSL Spilt per grade'!V24-W24,'Period RSL data'!L6-W19-W13-W7,'Charging RSL Spilt per grade'!V24-'Charging RSL Spilt per grade'!W24))</f>
        <v>0</v>
      </c>
      <c r="X25" s="135"/>
      <c r="Y25" s="137">
        <f>IF(Y24=X24,0,IF('Period RSL data'!M6-Y19-Y13-Y7&lt;'Charging RSL Spilt per grade'!X24-Y24,'Period RSL data'!M6-Y19-Y13-Y7,'Charging RSL Spilt per grade'!X24-'Charging RSL Spilt per grade'!Y24))</f>
        <v>0</v>
      </c>
      <c r="Z25" s="135"/>
      <c r="AA25" s="137">
        <f>IF(AA24=Z24,0,IF('Period RSL data'!N6-AA19-AA13-AA7&lt;'Charging RSL Spilt per grade'!Z24-AA24,'Period RSL data'!N6-AA19-AA13-AA7,'Charging RSL Spilt per grade'!Z24-'Charging RSL Spilt per grade'!AA24))</f>
        <v>0</v>
      </c>
      <c r="AB25" s="135"/>
      <c r="AC25" s="137">
        <f>IF(AC24=AB24,0,IF('Period RSL data'!O6-AC19-AC13-AC7&lt;'Charging RSL Spilt per grade'!AB24-AC24,'Period RSL data'!O6-AC19-AC13-AC7,'Charging RSL Spilt per grade'!AB24-'Charging RSL Spilt per grade'!AC24))</f>
        <v>0</v>
      </c>
      <c r="AD25" s="136">
        <f t="shared" si="1"/>
        <v>0</v>
      </c>
    </row>
    <row r="26" spans="1:30" x14ac:dyDescent="0.35">
      <c r="A26" s="131"/>
      <c r="B26" s="156"/>
      <c r="C26" s="22" t="str">
        <f t="shared" si="14"/>
        <v>OV Dbl</v>
      </c>
      <c r="D26" s="11">
        <f t="shared" si="12"/>
        <v>131.80000000000001</v>
      </c>
      <c r="E26" s="11">
        <f t="shared" si="16"/>
        <v>7.9080000000000004</v>
      </c>
      <c r="F26" s="135"/>
      <c r="G26" s="138">
        <f>IF(G24+G25=F24,0,IF('Period RSL data'!D7-G8-G14-G20&lt;'Charging RSL Spilt per grade'!F24-(G24+G25),'Period RSL data'!D7-G8-G14-G20,'Charging RSL Spilt per grade'!F24-('Charging RSL Spilt per grade'!G24+G25)))</f>
        <v>0</v>
      </c>
      <c r="H26" s="135"/>
      <c r="I26" s="138">
        <f>IF(I24+I25=H24,0,IF('Period RSL data'!E7-I8-I14-I20&lt;'Charging RSL Spilt per grade'!H24-(I24+I25),'Period RSL data'!E7-I8-I14-I20,'Charging RSL Spilt per grade'!H24-('Charging RSL Spilt per grade'!I24+I25)))</f>
        <v>0</v>
      </c>
      <c r="J26" s="135"/>
      <c r="K26" s="138">
        <f>IF(K24+K25=J24,0,IF('Period RSL data'!F7-K8-K14-K20&lt;'Charging RSL Spilt per grade'!J24-(K24+K25),'Period RSL data'!F7-K8-K14-K20,'Charging RSL Spilt per grade'!J24-('Charging RSL Spilt per grade'!K24+K25)))</f>
        <v>0</v>
      </c>
      <c r="L26" s="135"/>
      <c r="M26" s="138">
        <f>IF(M24+M25=L24,0,IF('Period RSL data'!G7-M8-M14-M20&lt;'Charging RSL Spilt per grade'!L24-(M24+M25),'Period RSL data'!G7-M8-M14-M20,'Charging RSL Spilt per grade'!L24-('Charging RSL Spilt per grade'!M24+M25)))</f>
        <v>0</v>
      </c>
      <c r="N26" s="135"/>
      <c r="O26" s="138">
        <f>IF(O24+O25=N24,0,IF('Period RSL data'!H7-O8-O14-O20&lt;'Charging RSL Spilt per grade'!N24-(O24+O25),'Period RSL data'!H7-O8-O14-O20,'Charging RSL Spilt per grade'!N24-('Charging RSL Spilt per grade'!O24+O25)))</f>
        <v>0</v>
      </c>
      <c r="P26" s="135"/>
      <c r="Q26" s="138">
        <f>IF(Q24+Q25=P24,0,IF('Period RSL data'!I7-Q8-Q14-Q20&lt;'Charging RSL Spilt per grade'!P24-(Q24+Q25),'Period RSL data'!I7-Q8-Q14-Q20,'Charging RSL Spilt per grade'!P24-('Charging RSL Spilt per grade'!Q24+Q25)))</f>
        <v>0</v>
      </c>
      <c r="R26" s="135"/>
      <c r="S26" s="138">
        <f>IF(S24+S25=R24,0,IF('Period RSL data'!J7-S8-S14-S20&lt;'Charging RSL Spilt per grade'!R24-(S24+S25),'Period RSL data'!J7-S8-S14-S20,'Charging RSL Spilt per grade'!R24-('Charging RSL Spilt per grade'!S24+S25)))</f>
        <v>0</v>
      </c>
      <c r="T26" s="135"/>
      <c r="U26" s="138">
        <f>IF(U24+U25=T24,0,IF('Period RSL data'!K7-U8-U14-U20&lt;'Charging RSL Spilt per grade'!T24-(U24+U25),'Period RSL data'!K7-U8-U14-U20,'Charging RSL Spilt per grade'!T24-('Charging RSL Spilt per grade'!U24+U25)))</f>
        <v>0</v>
      </c>
      <c r="V26" s="135"/>
      <c r="W26" s="138">
        <f>IF(W24+W25=V24,0,IF('Period RSL data'!L7-W8-W14-W20&lt;'Charging RSL Spilt per grade'!V24-(W24+W25),'Period RSL data'!L7-W8-W14-W20,'Charging RSL Spilt per grade'!V24-('Charging RSL Spilt per grade'!W24+W25)))</f>
        <v>0</v>
      </c>
      <c r="X26" s="135"/>
      <c r="Y26" s="138">
        <f>IF(Y24+Y25=X24,0,IF('Period RSL data'!M7-Y8-Y14-Y20&lt;'Charging RSL Spilt per grade'!X24-(Y24+Y25),'Period RSL data'!M7-Y8-Y14-Y20,'Charging RSL Spilt per grade'!X24-('Charging RSL Spilt per grade'!Y24+Y25)))</f>
        <v>0</v>
      </c>
      <c r="Z26" s="135"/>
      <c r="AA26" s="138">
        <f>IF(AA24+AA25=Z24,0,IF('Period RSL data'!N7-AA8-AA14-AA20&lt;'Charging RSL Spilt per grade'!Z24-(AA24+AA25),'Period RSL data'!N7-AA8-AA14-AA20,'Charging RSL Spilt per grade'!Z24-('Charging RSL Spilt per grade'!AA24+AA25)))</f>
        <v>0</v>
      </c>
      <c r="AB26" s="135"/>
      <c r="AC26" s="138">
        <f>IF(AC24+AC25=AB24,0,IF('Period RSL data'!O7-AC8-AC14-AC20&lt;'Charging RSL Spilt per grade'!AB24-(AC24+AC25),'Period RSL data'!O7-AC8-AC14-AC20,'Charging RSL Spilt per grade'!AB24-('Charging RSL Spilt per grade'!AC24+AC25)))</f>
        <v>0</v>
      </c>
      <c r="AD26" s="136">
        <f t="shared" si="1"/>
        <v>0</v>
      </c>
    </row>
    <row r="27" spans="1:30" x14ac:dyDescent="0.35">
      <c r="A27" s="131"/>
      <c r="B27" s="156"/>
      <c r="C27" s="22" t="str">
        <f t="shared" si="14"/>
        <v>SMI Single</v>
      </c>
      <c r="D27" s="11">
        <f t="shared" si="12"/>
        <v>43.2</v>
      </c>
      <c r="E27" s="11">
        <f t="shared" si="16"/>
        <v>2.5920000000000001</v>
      </c>
      <c r="F27" s="135"/>
      <c r="G27" s="139">
        <f>IF(G24+G25+G26=F24,0,IF('Period RSL data'!D8-(G9+G15+G21)&lt;'Charging RSL Spilt per grade'!F24-(G24+G25+G26),'Period RSL data'!D8-(G9+G15+G21),'Charging RSL Spilt per grade'!F24-'Charging RSL Spilt per grade'!G24+G25+G26))</f>
        <v>0</v>
      </c>
      <c r="H27" s="135"/>
      <c r="I27" s="139">
        <f>IF(I24+I25+I26=H24,0,IF('Period RSL data'!E8-(I9+I15+I21)&lt;'Charging RSL Spilt per grade'!H24-(I24+I25+I26),'Period RSL data'!E8-(I9+I15+I21),'Charging RSL Spilt per grade'!H24-'Charging RSL Spilt per grade'!I24+I25+I26))</f>
        <v>0</v>
      </c>
      <c r="J27" s="135"/>
      <c r="K27" s="139">
        <f>IF(K24+K25+K26=J24,0,IF('Period RSL data'!F8-K9-K15-K21&lt;'Charging RSL Spilt per grade'!J24-(K24+K25+K26),'Period RSL data'!F8-K9-K15-K21,'Charging RSL Spilt per grade'!J24-('Charging RSL Spilt per grade'!K24+K25+K26)))</f>
        <v>0</v>
      </c>
      <c r="L27" s="135"/>
      <c r="M27" s="139">
        <f>IF(M24+M25+M26=L24,0,IF('Period RSL data'!G8-M9-M15-M21&lt;'Charging RSL Spilt per grade'!L24-(M24+M25+M26),'Period RSL data'!G8-M9-M15-M21,'Charging RSL Spilt per grade'!L24-('Charging RSL Spilt per grade'!M24+M25+M26)))</f>
        <v>0</v>
      </c>
      <c r="N27" s="135"/>
      <c r="O27" s="139">
        <f>IF(O24+O25+O26=N24,0,IF('Period RSL data'!H8-O9-O15-O21&lt;'Charging RSL Spilt per grade'!N24-(O24+O25+O26),'Period RSL data'!H8-O9-O15-O21,'Charging RSL Spilt per grade'!N24-('Charging RSL Spilt per grade'!O24+O25+O26)))</f>
        <v>0</v>
      </c>
      <c r="P27" s="135"/>
      <c r="Q27" s="139">
        <f>IF(Q24+Q25+Q26=P24,0,IF('Period RSL data'!I8-Q9-Q15-Q21&lt;'Charging RSL Spilt per grade'!P24-(Q24+Q25+Q26),'Period RSL data'!I8-Q9-Q15-Q21,'Charging RSL Spilt per grade'!P24-('Charging RSL Spilt per grade'!Q24+Q25+Q26)))</f>
        <v>0</v>
      </c>
      <c r="R27" s="135"/>
      <c r="S27" s="139">
        <f>IF(S24+S25+S26=R24,0,IF('Period RSL data'!J8-S9-S15-S21&lt;'Charging RSL Spilt per grade'!R24-(S24+S25+S26),'Period RSL data'!J8-S9-S15-S21,'Charging RSL Spilt per grade'!R24-('Charging RSL Spilt per grade'!S24+S25+S26)))</f>
        <v>0</v>
      </c>
      <c r="T27" s="135"/>
      <c r="U27" s="139">
        <f>IF(U24+U25+U26=T24,0,IF('Period RSL data'!K8-U9-U15-U21&lt;'Charging RSL Spilt per grade'!T24-(U24+U25+U26),'Period RSL data'!K8-U9-U15-U21,'Charging RSL Spilt per grade'!T24-('Charging RSL Spilt per grade'!U24+U25+U26)))</f>
        <v>0</v>
      </c>
      <c r="V27" s="135"/>
      <c r="W27" s="139">
        <f>IF(W24+W25+W26=V24,0,IF('Period RSL data'!L8-W9-W15-W21&lt;'Charging RSL Spilt per grade'!V24-(W24+W25+W26),'Period RSL data'!L8-W9-W15-W21,'Charging RSL Spilt per grade'!V24-('Charging RSL Spilt per grade'!W24+W25+W26)))</f>
        <v>0</v>
      </c>
      <c r="X27" s="135"/>
      <c r="Y27" s="139">
        <f>IF(Y24+Y25+Y26=X24,0,IF('Period RSL data'!M8-Y9-Y15-Y21&lt;'Charging RSL Spilt per grade'!X24-(Y24+Y25+Y26),'Period RSL data'!M8-Y9-Y15-Y21,'Charging RSL Spilt per grade'!X24-('Charging RSL Spilt per grade'!Y24+Y25+Y26)))</f>
        <v>0</v>
      </c>
      <c r="Z27" s="135"/>
      <c r="AA27" s="139">
        <f>IF(AA24+AA25+AA26=Z24,0,IF('Period RSL data'!N8-AA9-AA15-AA21&lt;'Charging RSL Spilt per grade'!Z24-(AA24+AA25+AA26),'Period RSL data'!N8-AA9-AA15-AA21,'Charging RSL Spilt per grade'!Z24-('Charging RSL Spilt per grade'!AA24+AA25+AA26)))</f>
        <v>0</v>
      </c>
      <c r="AB27" s="135"/>
      <c r="AC27" s="139">
        <f>IF(AC24+AC25+AC26=AB24,0,IF('Period RSL data'!O8-AC9-AC15-AC21&lt;'Charging RSL Spilt per grade'!AB24-(AC24+AC25+AC26),'Period RSL data'!O8-AC9-AC15-AC21,'Charging RSL Spilt per grade'!AB24-('Charging RSL Spilt per grade'!AC24+AC25+AC26)))</f>
        <v>0</v>
      </c>
      <c r="AD27" s="136">
        <f t="shared" si="1"/>
        <v>0</v>
      </c>
    </row>
    <row r="28" spans="1:30" x14ac:dyDescent="0.35">
      <c r="A28" s="131"/>
      <c r="B28" s="156"/>
      <c r="C28" s="22" t="str">
        <f t="shared" si="14"/>
        <v>SMI 1.5</v>
      </c>
      <c r="D28" s="11">
        <f t="shared" si="12"/>
        <v>64.800000000000011</v>
      </c>
      <c r="E28" s="11">
        <f t="shared" si="16"/>
        <v>3.8880000000000003</v>
      </c>
      <c r="F28" s="135"/>
      <c r="G28" s="140">
        <f>IF(G24+G25+G26+G27=F24,0,IF('Period RSL data'!D9-G10-G16-G22&lt;'Charging RSL Spilt per grade'!F24-(G24+G25+G26+G27),'Period RSL data'!D9-G10-G16-G22,'Charging RSL Spilt per grade'!F24-('Charging RSL Spilt per grade'!G24+G25+G26+G27)))</f>
        <v>0</v>
      </c>
      <c r="H28" s="135"/>
      <c r="I28" s="140">
        <f>IF(I24+I25+I26+I27=H24,0,IF('Period RSL data'!E9-I10-I16-I22&lt;'Charging RSL Spilt per grade'!H24-(I24+I25+I26+I27),'Period RSL data'!E9-I10-I16-I22,'Charging RSL Spilt per grade'!H24-('Charging RSL Spilt per grade'!I24+I25+I26+I27)))</f>
        <v>0</v>
      </c>
      <c r="J28" s="135"/>
      <c r="K28" s="140">
        <f>IF(K24+K25+K26+K27=J24,0,IF('Period RSL data'!F9-K10-K16-K22&lt;'Charging RSL Spilt per grade'!J24-(K24+K25+K26+K27),'Period RSL data'!F9-K10-K16-K22,'Charging RSL Spilt per grade'!J24-('Charging RSL Spilt per grade'!K24+K25+K26+K27)))</f>
        <v>0</v>
      </c>
      <c r="L28" s="135"/>
      <c r="M28" s="140">
        <f>IF(M24+M25+M26+M27=L24,0,IF('Period RSL data'!G9-M10-M16-M22&lt;'Charging RSL Spilt per grade'!L24-(M24+M25+M26+M27),'Period RSL data'!G9-M10-M16-M22,'Charging RSL Spilt per grade'!L24-('Charging RSL Spilt per grade'!M24+M25+M26+M27)))</f>
        <v>0</v>
      </c>
      <c r="N28" s="135"/>
      <c r="O28" s="140">
        <f>IF(O24+O25+O26+O27=N24,0,IF('Period RSL data'!H9-O10-O16-O22&lt;'Charging RSL Spilt per grade'!N24-(O24+O25+O26+O27),'Period RSL data'!H9-O10-O16-O22,'Charging RSL Spilt per grade'!N24-('Charging RSL Spilt per grade'!O24+O25+O26+O27)))</f>
        <v>0</v>
      </c>
      <c r="P28" s="135"/>
      <c r="Q28" s="140">
        <f>IF(Q24+Q25+Q26+Q27=P24,0,IF('Period RSL data'!I9-Q10-Q16-Q22&lt;'Charging RSL Spilt per grade'!P24-(Q24+Q25+Q26+Q27),'Period RSL data'!I9-Q10-Q16-Q22,'Charging RSL Spilt per grade'!P24-('Charging RSL Spilt per grade'!Q24+Q25+Q26+Q27)))</f>
        <v>0</v>
      </c>
      <c r="R28" s="135"/>
      <c r="S28" s="140">
        <f>IF(S24+S25+S26+S27=R24,0,IF('Period RSL data'!J9-S10-S16-S22&lt;'Charging RSL Spilt per grade'!R24-(S24+S25+S26+S27),'Period RSL data'!J9-S10-S16-S22,'Charging RSL Spilt per grade'!R24-('Charging RSL Spilt per grade'!S24+S25+S26+S27)))</f>
        <v>0</v>
      </c>
      <c r="T28" s="135"/>
      <c r="U28" s="140">
        <f>IF(U24+U25+U26+U27=T24,0,IF('Period RSL data'!K9-U10-U16-U22&lt;'Charging RSL Spilt per grade'!T24-(U24+U25+U26+U27),'Period RSL data'!K9-U10-U16-U22,'Charging RSL Spilt per grade'!T24-('Charging RSL Spilt per grade'!U24+U25+U26+U27)))</f>
        <v>0</v>
      </c>
      <c r="V28" s="135"/>
      <c r="W28" s="140">
        <f>IF(W24+W25+W26+W27=V24,0,IF('Period RSL data'!L9-W10-W16-W22&lt;'Charging RSL Spilt per grade'!V24-(W24+W25+W26+W27),'Period RSL data'!L9-W10-W16-W22,'Charging RSL Spilt per grade'!V24-('Charging RSL Spilt per grade'!W24+W25+W26+W27)))</f>
        <v>0</v>
      </c>
      <c r="X28" s="135"/>
      <c r="Y28" s="140">
        <f>IF(Y24+Y25+Y26+Y27=X24,0,IF('Period RSL data'!M9-Y10-Y16-Y22&lt;'Charging RSL Spilt per grade'!X24-(Y24+Y25+Y26+Y27),'Period RSL data'!M9-Y10-Y16-Y22,'Charging RSL Spilt per grade'!X24-('Charging RSL Spilt per grade'!Y24+Y25+Y26+Y27)))</f>
        <v>0</v>
      </c>
      <c r="Z28" s="135"/>
      <c r="AA28" s="140">
        <f>IF(AA24+AA25+AA26+AA27=Z24,0,IF('Period RSL data'!N9-AA10-AA16-AA22&lt;'Charging RSL Spilt per grade'!Z24-(AA24+AA25+AA26+AA27),'Period RSL data'!N9-AA10-AA16-AA22,'Charging RSL Spilt per grade'!Z24-('Charging RSL Spilt per grade'!AA24+AA25+AA26+AA27)))</f>
        <v>0</v>
      </c>
      <c r="AB28" s="135"/>
      <c r="AC28" s="140">
        <f>IF(AC24+AC25+AC26+AC27=AB24,0,IF('Period RSL data'!O9-AC10-AC16-AC22&lt;'Charging RSL Spilt per grade'!AB24-(AC24+AC25+AC26+AC27),'Period RSL data'!O9-AC10-AC16-AC22,'Charging RSL Spilt per grade'!AB24-('Charging RSL Spilt per grade'!AC24+AC25+AC26+AC27)))</f>
        <v>0</v>
      </c>
      <c r="AD28" s="136">
        <f t="shared" si="1"/>
        <v>0</v>
      </c>
    </row>
    <row r="29" spans="1:30" x14ac:dyDescent="0.35">
      <c r="A29" s="131"/>
      <c r="B29" s="156"/>
      <c r="C29" s="22" t="str">
        <f t="shared" si="14"/>
        <v>SMI Dbl</v>
      </c>
      <c r="D29" s="11">
        <f t="shared" si="12"/>
        <v>86.4</v>
      </c>
      <c r="E29" s="11">
        <f t="shared" si="16"/>
        <v>5.1840000000000002</v>
      </c>
      <c r="F29" s="135"/>
      <c r="G29" s="141">
        <f>IF(G24+G25+G26+G27+G28=F24,0,IF('Period RSL data'!D10-G11-G17-G23&lt;'Charging RSL Spilt per grade'!F24-(G24+G25+G26+G27+G28),'Period RSL data'!D10-G11-G17-G23,'Charging RSL Spilt per grade'!F24-('Charging RSL Spilt per grade'!G24+G25+G26+G27+G28)))</f>
        <v>0</v>
      </c>
      <c r="H29" s="135"/>
      <c r="I29" s="141">
        <f>IF(I24+I25+I26+I27+I28=H24,0,IF('Period RSL data'!E10-I11-I17-I23&lt;'Charging RSL Spilt per grade'!H24-(I24+I25+I26+I27+I28),'Period RSL data'!E10-I11-I17-I23,'Charging RSL Spilt per grade'!H24-('Charging RSL Spilt per grade'!I24+I25+I26+I27+I28)))</f>
        <v>0</v>
      </c>
      <c r="J29" s="135"/>
      <c r="K29" s="141">
        <f>IF(K24+K25+K26+K27+K28=J24,0,IF('Period RSL data'!F10-K11-K17-K23&lt;'Charging RSL Spilt per grade'!J24-(K24+K25+K26+K27+K28),'Period RSL data'!F10-K11-K17-K23,'Charging RSL Spilt per grade'!J24-('Charging RSL Spilt per grade'!K24+K25+K26+K27+K28)))</f>
        <v>0</v>
      </c>
      <c r="L29" s="135"/>
      <c r="M29" s="141">
        <f>IF(M24+M25+M26+M27+M28=L24,0,IF('Period RSL data'!G10-M11-M17-M23&lt;'Charging RSL Spilt per grade'!L24-(M24+M25+M26+M27+M28),'Period RSL data'!G10-M11-M17-M23,'Charging RSL Spilt per grade'!L24-('Charging RSL Spilt per grade'!M24+M25+M26+M27+M28)))</f>
        <v>0</v>
      </c>
      <c r="N29" s="135"/>
      <c r="O29" s="141">
        <f>IF(O24+O25+O26+O27+O28=N24,0,IF('Period RSL data'!H10-O11-O17-O23&lt;'Charging RSL Spilt per grade'!N24-(O24+O25+O26+O27+O28),'Period RSL data'!H10-O11-O17-O23,'Charging RSL Spilt per grade'!N24-('Charging RSL Spilt per grade'!O24+O25+O26+O27+O28)))</f>
        <v>0</v>
      </c>
      <c r="P29" s="135"/>
      <c r="Q29" s="141">
        <f>IF(Q24+Q25+Q26+Q27+Q28=P24,0,IF('Period RSL data'!I10-Q11-Q17-Q23&lt;'Charging RSL Spilt per grade'!P24-(Q24+Q25+Q26+Q27+Q28),'Period RSL data'!I10-Q11-Q17-Q23,'Charging RSL Spilt per grade'!P24-('Charging RSL Spilt per grade'!Q24+Q25+Q26+Q27+Q28)))</f>
        <v>0</v>
      </c>
      <c r="R29" s="135"/>
      <c r="S29" s="141">
        <f>IF(S24+S25+S26+S27+S28=R24,0,IF('Period RSL data'!J10-S11-S17-S23&lt;'Charging RSL Spilt per grade'!R24-(S24+S25+S26+S27+S28),'Period RSL data'!J10-S11-S17-S23,'Charging RSL Spilt per grade'!R24-('Charging RSL Spilt per grade'!S24+S25+S26+S27+S28)))</f>
        <v>0</v>
      </c>
      <c r="T29" s="135"/>
      <c r="U29" s="141">
        <f>IF(U24+U25+U26+U27+U28=T24,0,IF('Period RSL data'!K10-U11-U17-U23&lt;'Charging RSL Spilt per grade'!T24-(U24+U25+U26+U27+U28),'Period RSL data'!K10-U11-U17-U23,'Charging RSL Spilt per grade'!T24-('Charging RSL Spilt per grade'!U24+U25+U26+U27+U28)))</f>
        <v>0</v>
      </c>
      <c r="V29" s="135"/>
      <c r="W29" s="141">
        <f>IF(W24+W25+W26+W27+W28=V24,0,IF('Period RSL data'!L10-W11-W17-W23&lt;'Charging RSL Spilt per grade'!V24-(W24+W25+W26+W27+W28),'Period RSL data'!L10-W11-W17-W23,'Charging RSL Spilt per grade'!V24-('Charging RSL Spilt per grade'!W24+W25+W26+W27+W28)))</f>
        <v>0</v>
      </c>
      <c r="X29" s="135"/>
      <c r="Y29" s="141">
        <f>IF(Y24+Y25+Y26+Y27+Y28=X24,0,IF('Period RSL data'!M10-Y11-Y17-Y23&lt;'Charging RSL Spilt per grade'!X24-(Y24+Y25+Y26+Y27+Y28),'Period RSL data'!M10-Y11-Y17-Y23,'Charging RSL Spilt per grade'!X24-('Charging RSL Spilt per grade'!Y24+Y25+Y26+Y27+Y28)))</f>
        <v>0</v>
      </c>
      <c r="Z29" s="135"/>
      <c r="AA29" s="141">
        <f>IF(AA24+AA25+AA26+AA27+AA28=Z24,0,IF('Period RSL data'!N10-AA11-AA17-AA23&lt;'Charging RSL Spilt per grade'!Z24-(AA24+AA25+AA26+AA27+AA28),'Period RSL data'!N10-AA11-AA17-AA23,'Charging RSL Spilt per grade'!Z24-('Charging RSL Spilt per grade'!AA24+AA25+AA26+AA27+AA28)))</f>
        <v>0</v>
      </c>
      <c r="AB29" s="135"/>
      <c r="AC29" s="141">
        <f>IF(AC24+AC25+AC26+AC27+AC28=AB24,0,IF('Period RSL data'!O10-AC11-AC17-AC23&lt;'Charging RSL Spilt per grade'!AB24-(AC24+AC25+AC26+AC27+AC28),'Period RSL data'!O10-AC11-AC17-AC23,'Charging RSL Spilt per grade'!AB24-('Charging RSL Spilt per grade'!AC24+AC25+AC26+AC27+AC28)))</f>
        <v>0</v>
      </c>
      <c r="AD29" s="136">
        <f t="shared" si="1"/>
        <v>0</v>
      </c>
    </row>
    <row r="30" spans="1:30" x14ac:dyDescent="0.35">
      <c r="A30" s="131">
        <v>5</v>
      </c>
      <c r="B30" s="156">
        <f>'Annual data (rates, Bands, disc'!E7</f>
        <v>0.04</v>
      </c>
      <c r="C30" s="22" t="str">
        <f t="shared" ref="C30:C35" si="17">C6</f>
        <v>OV Single</v>
      </c>
      <c r="D30" s="11">
        <f t="shared" si="12"/>
        <v>65.900000000000006</v>
      </c>
      <c r="E30" s="11">
        <f>D30*$B$30</f>
        <v>2.6360000000000001</v>
      </c>
      <c r="F30" s="133">
        <f>'Annual data (rates, Bands, disc'!H7/12</f>
        <v>673.75</v>
      </c>
      <c r="G30" s="134">
        <f>IF('Period RSL data'!D5-('Charging RSL Spilt per grade'!G6+G12+G18+G24)&lt;0,0,IF('Period RSL data'!D5-('Charging RSL Spilt per grade'!G6+G12+G18+G24)&gt;'Charging RSL Spilt per grade'!F30,'Charging RSL Spilt per grade'!F30,'Period RSL data'!D5-('Charging RSL Spilt per grade'!G6+G12+G18+G24)))</f>
        <v>0</v>
      </c>
      <c r="H30" s="135">
        <f>(F30-(G30+G31+G32+G33+G34+G35)+F30)</f>
        <v>1347.5</v>
      </c>
      <c r="I30" s="134">
        <f>IF('Period RSL data'!E5-('Charging RSL Spilt per grade'!I6+I12+I18+I24)&lt;0,0,IF('Period RSL data'!E5-('Charging RSL Spilt per grade'!I6+I12+I18+I24)&gt;'Charging RSL Spilt per grade'!H30,'Charging RSL Spilt per grade'!H30,'Period RSL data'!E5-('Charging RSL Spilt per grade'!I6+I12+I18+I24)))</f>
        <v>0</v>
      </c>
      <c r="J30" s="135">
        <f>(H30-(I30+I31+I32+I33+I34+I35))+F30</f>
        <v>2021.25</v>
      </c>
      <c r="K30" s="134">
        <f>IF('Period RSL data'!F5-('Charging RSL Spilt per grade'!K6+K12+K18+K24)&lt;0,0,IF('Period RSL data'!F5-('Charging RSL Spilt per grade'!K6+K12+K18+K24)&gt;'Charging RSL Spilt per grade'!J30,'Charging RSL Spilt per grade'!J30,'Period RSL data'!F5-('Charging RSL Spilt per grade'!K6+K12+K18+K24)))</f>
        <v>0</v>
      </c>
      <c r="L30" s="135">
        <f>(J30-(K30+K31+K32+K33+K34+K35))+F30</f>
        <v>2695</v>
      </c>
      <c r="M30" s="134">
        <f>IF('Period RSL data'!G5-('Charging RSL Spilt per grade'!M6+M12+M18+M24)&lt;0,0,IF('Period RSL data'!G5-('Charging RSL Spilt per grade'!M6+M12+M18+M24)&gt;'Charging RSL Spilt per grade'!L30,'Charging RSL Spilt per grade'!L30,'Period RSL data'!G5-('Charging RSL Spilt per grade'!M6+M12+M18+M24)))</f>
        <v>0</v>
      </c>
      <c r="N30" s="135">
        <f>(L30-(M30+M31+M32+M33+M34+M35))+F30</f>
        <v>3368.75</v>
      </c>
      <c r="O30" s="134">
        <f>IF('Period RSL data'!H5-('Charging RSL Spilt per grade'!O6+O12+O18+O24)&lt;0,0,IF('Period RSL data'!H5-('Charging RSL Spilt per grade'!O6+O12+O18+O24)&gt;'Charging RSL Spilt per grade'!N30,'Charging RSL Spilt per grade'!N30,'Period RSL data'!H5-('Charging RSL Spilt per grade'!O6+O12+O18+O24)))</f>
        <v>0</v>
      </c>
      <c r="P30" s="135">
        <f>(N30-(O30+O31+O32+O33+O34+O35))+F30</f>
        <v>4042.5</v>
      </c>
      <c r="Q30" s="134">
        <f>IF('Period RSL data'!I5-('Charging RSL Spilt per grade'!Q6+Q12+Q18+Q24)&lt;0,0,IF('Period RSL data'!I5-('Charging RSL Spilt per grade'!Q6+Q12+Q18+Q24)&gt;'Charging RSL Spilt per grade'!P30,'Charging RSL Spilt per grade'!P30,'Period RSL data'!I5-('Charging RSL Spilt per grade'!Q6+Q12+Q18+Q24)))</f>
        <v>0</v>
      </c>
      <c r="R30" s="135">
        <f t="shared" si="4"/>
        <v>4716.25</v>
      </c>
      <c r="S30" s="134">
        <f>IF('Period RSL data'!J5-('Charging RSL Spilt per grade'!S6+S12+S18+S24)&lt;0,0,IF('Period RSL data'!J5-('Charging RSL Spilt per grade'!S6+S12+S18+S24)&gt;'Charging RSL Spilt per grade'!R30,'Charging RSL Spilt per grade'!R30,'Period RSL data'!J5-('Charging RSL Spilt per grade'!S6+S12+S18+S24)))</f>
        <v>0</v>
      </c>
      <c r="T30" s="135">
        <f t="shared" si="5"/>
        <v>5390</v>
      </c>
      <c r="U30" s="134">
        <f>IF('Period RSL data'!K5-('Charging RSL Spilt per grade'!U6+U12+U18+U24)&lt;0,0,IF('Period RSL data'!K5-('Charging RSL Spilt per grade'!U6+U12+U18+U24)&gt;'Charging RSL Spilt per grade'!T30,'Charging RSL Spilt per grade'!T30,'Period RSL data'!K5-('Charging RSL Spilt per grade'!U6+U12+U18+U24)))</f>
        <v>0</v>
      </c>
      <c r="V30" s="135">
        <f t="shared" si="6"/>
        <v>6063.75</v>
      </c>
      <c r="W30" s="134">
        <f>IF('Period RSL data'!L5-('Charging RSL Spilt per grade'!W6+W12+W18+W24)&lt;0,0,IF('Period RSL data'!L5-('Charging RSL Spilt per grade'!W6+W12+W18+W24)&gt;'Charging RSL Spilt per grade'!V30,'Charging RSL Spilt per grade'!V30,'Period RSL data'!L5-('Charging RSL Spilt per grade'!W6+W12+W18+W24)))</f>
        <v>0</v>
      </c>
      <c r="X30" s="135">
        <f t="shared" si="7"/>
        <v>6737.5</v>
      </c>
      <c r="Y30" s="134">
        <f>IF('Period RSL data'!M5-('Charging RSL Spilt per grade'!Y6+Y12+Y18+Y24)&lt;0,0,IF('Period RSL data'!M5-('Charging RSL Spilt per grade'!Y6+Y12+Y18+Y24)&gt;'Charging RSL Spilt per grade'!X30,'Charging RSL Spilt per grade'!X30,'Period RSL data'!M5-('Charging RSL Spilt per grade'!Y6+Y12+Y18+Y24)))</f>
        <v>0</v>
      </c>
      <c r="Z30" s="135">
        <f t="shared" si="8"/>
        <v>7411.25</v>
      </c>
      <c r="AA30" s="134">
        <f>IF('Period RSL data'!N5-('Charging RSL Spilt per grade'!AA6+AA12+AA18+AA24)&lt;0,0,IF('Period RSL data'!N5-('Charging RSL Spilt per grade'!AA6+AA12+AA18+AA24)&gt;'Charging RSL Spilt per grade'!Z30,'Charging RSL Spilt per grade'!Z30,'Period RSL data'!N5-('Charging RSL Spilt per grade'!AA6+AA12+AA18+AA24)))</f>
        <v>0</v>
      </c>
      <c r="AB30" s="135">
        <f t="shared" si="9"/>
        <v>8085</v>
      </c>
      <c r="AC30" s="134">
        <f>IF('Period RSL data'!O5-('Charging RSL Spilt per grade'!AC6+AC12+AC18+AC24)&lt;0,0,IF('Period RSL data'!O5-('Charging RSL Spilt per grade'!AC6+AC12+AC18+AC24)&gt;'Charging RSL Spilt per grade'!AB30,'Charging RSL Spilt per grade'!AB30,'Period RSL data'!O5-('Charging RSL Spilt per grade'!AC6+AC12+AC18+AC24)))</f>
        <v>0</v>
      </c>
      <c r="AD30" s="136">
        <f t="shared" si="1"/>
        <v>0</v>
      </c>
    </row>
    <row r="31" spans="1:30" x14ac:dyDescent="0.35">
      <c r="A31" s="131"/>
      <c r="B31" s="156"/>
      <c r="C31" s="22" t="str">
        <f t="shared" si="17"/>
        <v>OV 1.5</v>
      </c>
      <c r="D31" s="11">
        <f t="shared" si="12"/>
        <v>98.850000000000009</v>
      </c>
      <c r="E31" s="11">
        <f t="shared" ref="E31:E35" si="18">D31*$B$30</f>
        <v>3.9540000000000006</v>
      </c>
      <c r="F31" s="142"/>
      <c r="G31" s="137">
        <f>IF(G30=F30,0,IF('Period RSL data'!D6-G25-G19-G13-G7&lt;'Charging RSL Spilt per grade'!F30-G30,'Period RSL data'!D6-G25-G19-G13-G7,'Charging RSL Spilt per grade'!F30-'Charging RSL Spilt per grade'!G30))</f>
        <v>0</v>
      </c>
      <c r="H31" s="135"/>
      <c r="I31" s="137">
        <f>IF(I30=H30,0,IF('Period RSL data'!E6-I25-I19-I13-I7&lt;'Charging RSL Spilt per grade'!H30-I30,'Period RSL data'!E6-I25-I19-I13-I7,'Charging RSL Spilt per grade'!H30-'Charging RSL Spilt per grade'!I30))</f>
        <v>0</v>
      </c>
      <c r="J31" s="135"/>
      <c r="K31" s="137">
        <f>IF(K30=J30,0,IF('Period RSL data'!F6-K25-K19-K13-K7&lt;'Charging RSL Spilt per grade'!J30-K30,'Period RSL data'!F6-K25-K19-K13-K7,'Charging RSL Spilt per grade'!J30-'Charging RSL Spilt per grade'!K30))</f>
        <v>0</v>
      </c>
      <c r="L31" s="135"/>
      <c r="M31" s="137">
        <f>IF(M30=L30,0,IF('Period RSL data'!G6-M25-M19-M13-M7&lt;'Charging RSL Spilt per grade'!L30-M30,'Period RSL data'!G6-M25-M19-M13-M7,'Charging RSL Spilt per grade'!L30-'Charging RSL Spilt per grade'!M30))</f>
        <v>0</v>
      </c>
      <c r="N31" s="135"/>
      <c r="O31" s="137">
        <f>IF(O30=N30,0,IF('Period RSL data'!H6-O25-O19-O13-O7&lt;'Charging RSL Spilt per grade'!N30-O30,'Period RSL data'!H6-O25-O19-O13-O7,'Charging RSL Spilt per grade'!N30-'Charging RSL Spilt per grade'!O30))</f>
        <v>0</v>
      </c>
      <c r="P31" s="135"/>
      <c r="Q31" s="137">
        <f>IF(Q30=P30,0,IF('Period RSL data'!I6-Q25-Q19-Q13-Q7&lt;'Charging RSL Spilt per grade'!P30-Q30,'Period RSL data'!I6-Q25-Q19-Q13-Q7,'Charging RSL Spilt per grade'!P30-'Charging RSL Spilt per grade'!Q30))</f>
        <v>0</v>
      </c>
      <c r="R31" s="135"/>
      <c r="S31" s="137">
        <f>IF(S30=R30,0,IF('Period RSL data'!J6-S25-S19-S13-S7&lt;'Charging RSL Spilt per grade'!R30-S30,'Period RSL data'!J6-S25-S19-S13-S7,'Charging RSL Spilt per grade'!R30-'Charging RSL Spilt per grade'!S30))</f>
        <v>0</v>
      </c>
      <c r="T31" s="135"/>
      <c r="U31" s="137">
        <f>IF(U30=T30,0,IF('Period RSL data'!K6-U25-U19-U13-U7&lt;'Charging RSL Spilt per grade'!T30-U30,'Period RSL data'!K6-U25-U19-U13-U7,'Charging RSL Spilt per grade'!T30-'Charging RSL Spilt per grade'!U30))</f>
        <v>0</v>
      </c>
      <c r="V31" s="135"/>
      <c r="W31" s="137">
        <f>IF(W30=V30,0,IF('Period RSL data'!L6-W25-W19-W13-W7&lt;'Charging RSL Spilt per grade'!V30-W30,'Period RSL data'!L6-W25-W19-W13-W7,'Charging RSL Spilt per grade'!V30-'Charging RSL Spilt per grade'!W30))</f>
        <v>0</v>
      </c>
      <c r="X31" s="135"/>
      <c r="Y31" s="137">
        <f>IF(Y30=X30,0,IF('Period RSL data'!M6-Y25-Y19-Y13-Y7&lt;'Charging RSL Spilt per grade'!X30-Y30,'Period RSL data'!M6-Y25-Y19-Y13-Y7,'Charging RSL Spilt per grade'!X30-'Charging RSL Spilt per grade'!Y30))</f>
        <v>0</v>
      </c>
      <c r="Z31" s="135"/>
      <c r="AA31" s="137">
        <f>IF(AA30=Z30,0,IF('Period RSL data'!N6-AA25-AA19-AA13-AA7&lt;'Charging RSL Spilt per grade'!Z30-AA30,'Period RSL data'!N6-AA25-AA19-AA13-AA7,'Charging RSL Spilt per grade'!Z30-'Charging RSL Spilt per grade'!AA30))</f>
        <v>0</v>
      </c>
      <c r="AB31" s="135"/>
      <c r="AC31" s="137">
        <f>IF(AC30=AB30,0,IF('Period RSL data'!O6-AC25-AC19-AC13-AC7&lt;'Charging RSL Spilt per grade'!AB30-AC30,'Period RSL data'!O6-AC25-AC19-AC13-AC7,'Charging RSL Spilt per grade'!AB30-'Charging RSL Spilt per grade'!AC30))</f>
        <v>0</v>
      </c>
      <c r="AD31" s="136">
        <f t="shared" si="1"/>
        <v>0</v>
      </c>
    </row>
    <row r="32" spans="1:30" x14ac:dyDescent="0.35">
      <c r="A32" s="131"/>
      <c r="B32" s="156"/>
      <c r="C32" s="22" t="str">
        <f t="shared" si="17"/>
        <v>OV Dbl</v>
      </c>
      <c r="D32" s="11">
        <f t="shared" si="12"/>
        <v>131.80000000000001</v>
      </c>
      <c r="E32" s="11">
        <f t="shared" si="18"/>
        <v>5.2720000000000002</v>
      </c>
      <c r="F32" s="142"/>
      <c r="G32" s="138">
        <f>IF(G30+G31=F30,0,IF('Period RSL data'!D7-G8-G14-G20-G26&lt;'Charging RSL Spilt per grade'!F30-(G30+G31),'Period RSL data'!D7-G8-G14-G20-G26,'Charging RSL Spilt per grade'!F30-('Charging RSL Spilt per grade'!G30+G31)))</f>
        <v>0</v>
      </c>
      <c r="H32" s="135"/>
      <c r="I32" s="138">
        <f>IF(I30+I31=H30,0,IF('Period RSL data'!E7-I8-I14-I20-I26&lt;'Charging RSL Spilt per grade'!H30-(I30+I31),'Period RSL data'!E7-I8-I14-I20-I26,'Charging RSL Spilt per grade'!H30-('Charging RSL Spilt per grade'!I30+I31)))</f>
        <v>0</v>
      </c>
      <c r="J32" s="135"/>
      <c r="K32" s="138">
        <f>IF(K30+K31=J30,0,IF('Period RSL data'!F7-K8-K14-K20-K26&lt;'Charging RSL Spilt per grade'!J30-(K30+K31),'Period RSL data'!F7-K8-K14-K20-K26,'Charging RSL Spilt per grade'!J30-('Charging RSL Spilt per grade'!K30+K31)))</f>
        <v>0</v>
      </c>
      <c r="L32" s="135"/>
      <c r="M32" s="138">
        <f>IF(M30+M31=L30,0,IF('Period RSL data'!G7-M8-M14-M20-M26&lt;'Charging RSL Spilt per grade'!L30-(M30+M31),'Period RSL data'!G7-M8-M14-M20-M26,'Charging RSL Spilt per grade'!L30-('Charging RSL Spilt per grade'!M30+M31)))</f>
        <v>0</v>
      </c>
      <c r="N32" s="135"/>
      <c r="O32" s="138">
        <f>IF(O30+O31=N30,0,IF('Period RSL data'!H7-O8-O14-O20-O26&lt;'Charging RSL Spilt per grade'!N30-(O30+O31),'Period RSL data'!H7-O8-O14-O20-O26,'Charging RSL Spilt per grade'!N30-('Charging RSL Spilt per grade'!O30+O31)))</f>
        <v>0</v>
      </c>
      <c r="P32" s="135"/>
      <c r="Q32" s="138">
        <f>IF(Q30+Q31=P30,0,IF('Period RSL data'!I7-Q8-Q14-Q20-Q26&lt;'Charging RSL Spilt per grade'!P30-(Q30+Q31),'Period RSL data'!I7-Q8-Q14-Q20-Q26,'Charging RSL Spilt per grade'!P30-('Charging RSL Spilt per grade'!Q30+Q31)))</f>
        <v>0</v>
      </c>
      <c r="R32" s="135"/>
      <c r="S32" s="138">
        <f>IF(S30+S31=R30,0,IF('Period RSL data'!J7-S8-S14-S20-S26&lt;'Charging RSL Spilt per grade'!R30-(S30+S31),'Period RSL data'!J7-S8-S14-S20-S26,'Charging RSL Spilt per grade'!R30-('Charging RSL Spilt per grade'!S30+S31)))</f>
        <v>0</v>
      </c>
      <c r="T32" s="135"/>
      <c r="U32" s="138">
        <f>IF(U30+U31=T30,0,IF('Period RSL data'!K7-U8-U14-U20-U26&lt;'Charging RSL Spilt per grade'!T30-(U30+U31),'Period RSL data'!K7-U8-U14-U20-U26,'Charging RSL Spilt per grade'!T30-('Charging RSL Spilt per grade'!U30+U31)))</f>
        <v>0</v>
      </c>
      <c r="V32" s="135"/>
      <c r="W32" s="138">
        <f>IF(W30+W31=V30,0,IF('Period RSL data'!L7-W8-W14-W20-W26&lt;'Charging RSL Spilt per grade'!V30-(W30+W31),'Period RSL data'!L7-W8-W14-W20-W26,'Charging RSL Spilt per grade'!V30-('Charging RSL Spilt per grade'!W30+W31)))</f>
        <v>0</v>
      </c>
      <c r="X32" s="135"/>
      <c r="Y32" s="138">
        <f>IF(Y30+Y31=X30,0,IF('Period RSL data'!M7-Y8-Y14-Y20-Y26&lt;'Charging RSL Spilt per grade'!X30-(Y30+Y31),'Period RSL data'!M7-Y8-Y14-Y20-Y26,'Charging RSL Spilt per grade'!X30-('Charging RSL Spilt per grade'!Y30+Y31)))</f>
        <v>0</v>
      </c>
      <c r="Z32" s="135"/>
      <c r="AA32" s="138">
        <f>IF(AA30+AA31=Z30,0,IF('Period RSL data'!N7-AA8-AA14-AA20-AA26&lt;'Charging RSL Spilt per grade'!Z30-(AA30+AA31),'Period RSL data'!N7-AA8-AA14-AA20-AA26,'Charging RSL Spilt per grade'!Z30-('Charging RSL Spilt per grade'!AA30+AA31)))</f>
        <v>0</v>
      </c>
      <c r="AB32" s="135"/>
      <c r="AC32" s="138">
        <f>IF(AC30+AC31=AB30,0,IF('Period RSL data'!O7-AC8-AC14-AC20-AC26&lt;'Charging RSL Spilt per grade'!AB30-(AC30+AC31),'Period RSL data'!O7-AC8-AC14-AC20-AC26,'Charging RSL Spilt per grade'!AB30-('Charging RSL Spilt per grade'!AC30+AC31)))</f>
        <v>0</v>
      </c>
      <c r="AD32" s="136">
        <f t="shared" si="1"/>
        <v>0</v>
      </c>
    </row>
    <row r="33" spans="1:30" x14ac:dyDescent="0.35">
      <c r="A33" s="131"/>
      <c r="B33" s="156"/>
      <c r="C33" s="22" t="str">
        <f t="shared" si="17"/>
        <v>SMI Single</v>
      </c>
      <c r="D33" s="11">
        <f t="shared" si="12"/>
        <v>43.2</v>
      </c>
      <c r="E33" s="11">
        <f t="shared" si="18"/>
        <v>1.7280000000000002</v>
      </c>
      <c r="F33" s="142"/>
      <c r="G33" s="139">
        <f>IF(G30+G31+G32=F30,0,IF('Period RSL data'!D8-G9-G15-G21-G27&lt;'Charging RSL Spilt per grade'!F30-(G30+G31+G32),'Period RSL data'!D8-G9-G15-G21-G27,'Charging RSL Spilt per grade'!F30-('Charging RSL Spilt per grade'!G30+G31+G32)))</f>
        <v>0</v>
      </c>
      <c r="H33" s="135"/>
      <c r="I33" s="139">
        <f>IF(I30+I31+I32=H30,0,IF('Period RSL data'!E8-I9-I15-I21-I27&lt;'Charging RSL Spilt per grade'!H30-(I30+I31+I32),'Period RSL data'!E8-I9-I15-I21-I27,'Charging RSL Spilt per grade'!H30-('Charging RSL Spilt per grade'!I30+I31+I32)))</f>
        <v>0</v>
      </c>
      <c r="J33" s="135"/>
      <c r="K33" s="139">
        <f>IF(K30+K31+K32=J30,0,IF('Period RSL data'!F8-K9-K15-K21-K27&lt;'Charging RSL Spilt per grade'!J30-(K30+K31+K32),'Period RSL data'!F8-K9-K15-K21-K27,'Charging RSL Spilt per grade'!J30-('Charging RSL Spilt per grade'!K30+K31+K32)))</f>
        <v>0</v>
      </c>
      <c r="L33" s="135"/>
      <c r="M33" s="139">
        <f>IF(M30+M31+M32=L30,0,IF('Period RSL data'!G8-M9-M15-M21-M27&lt;'Charging RSL Spilt per grade'!L30-(M30+M31+M32),'Period RSL data'!G8-M9-M15-M21-M27,'Charging RSL Spilt per grade'!L30-('Charging RSL Spilt per grade'!M30+M31+M32)))</f>
        <v>0</v>
      </c>
      <c r="N33" s="135"/>
      <c r="O33" s="139">
        <f>IF(O30+O31+O32=N30,0,IF('Period RSL data'!H8-O9-O15-O21-O27&lt;'Charging RSL Spilt per grade'!N30-(O30+O31+O32),'Period RSL data'!H8-O9-O15-O21-O27,'Charging RSL Spilt per grade'!N30-('Charging RSL Spilt per grade'!O30+O31+O32)))</f>
        <v>0</v>
      </c>
      <c r="P33" s="135"/>
      <c r="Q33" s="139">
        <f>IF(Q30+Q31+Q32=P30,0,IF('Period RSL data'!I8-Q9-Q15-Q21-Q27&lt;'Charging RSL Spilt per grade'!P30-(Q30+Q31+Q32),'Period RSL data'!I8-Q9-Q15-Q21-Q27,'Charging RSL Spilt per grade'!P30-('Charging RSL Spilt per grade'!Q30+Q31+Q32)))</f>
        <v>0</v>
      </c>
      <c r="R33" s="135"/>
      <c r="S33" s="139">
        <f>IF(S30+S31+S32=R30,0,IF('Period RSL data'!J8-S9-S15-S21-S27&lt;'Charging RSL Spilt per grade'!R30-(S30+S31+S32),'Period RSL data'!J8-S9-S15-S21-S27,'Charging RSL Spilt per grade'!R30-('Charging RSL Spilt per grade'!S30+S31+S32)))</f>
        <v>0</v>
      </c>
      <c r="T33" s="135"/>
      <c r="U33" s="139">
        <f>IF(U30+U31+U32=T30,0,IF('Period RSL data'!K8-U9-U15-U21-U27&lt;'Charging RSL Spilt per grade'!T30-(U30+U31+U32),'Period RSL data'!K8-U9-U15-U21-U27,'Charging RSL Spilt per grade'!T30-('Charging RSL Spilt per grade'!U30+U31+U32)))</f>
        <v>0</v>
      </c>
      <c r="V33" s="135"/>
      <c r="W33" s="139">
        <f>IF(W30+W31+W32=V30,0,IF('Period RSL data'!L8-W9-W15-W21-W27&lt;'Charging RSL Spilt per grade'!V30-(W30+W31+W32),'Period RSL data'!L8-W9-W15-W21-W27,'Charging RSL Spilt per grade'!V30-('Charging RSL Spilt per grade'!W30+W31+W32)))</f>
        <v>0</v>
      </c>
      <c r="X33" s="135"/>
      <c r="Y33" s="139">
        <f>IF(Y30+Y31+Y32=X30,0,IF('Period RSL data'!M8-Y9-Y15-Y21-Y27&lt;'Charging RSL Spilt per grade'!X30-(Y30+Y31+Y32),'Period RSL data'!M8-Y9-Y15-Y21-Y27,'Charging RSL Spilt per grade'!X30-('Charging RSL Spilt per grade'!Y30+Y31+Y32)))</f>
        <v>0</v>
      </c>
      <c r="Z33" s="135"/>
      <c r="AA33" s="139">
        <f>IF(AA30+AA31+AA32=Z30,0,IF('Period RSL data'!N8-AA9-AA15-AA21-AA27&lt;'Charging RSL Spilt per grade'!Z30-(AA30+AA31+AA32),'Period RSL data'!N8-AA9-AA15-AA21-AA27,'Charging RSL Spilt per grade'!Z30-('Charging RSL Spilt per grade'!AA30+AA31+AA32)))</f>
        <v>0</v>
      </c>
      <c r="AB33" s="135"/>
      <c r="AC33" s="139">
        <f>IF(AC30+AC31+AC32=AB30,0,IF('Period RSL data'!O8-AC9-AC15-AC21-AC27&lt;'Charging RSL Spilt per grade'!AB30-(AC30+AC31+AC32),'Period RSL data'!O8-AC9-AC15-AC21-AC27,'Charging RSL Spilt per grade'!AB30-('Charging RSL Spilt per grade'!AC30+AC31+AC32)))</f>
        <v>0</v>
      </c>
      <c r="AD33" s="136">
        <f t="shared" si="1"/>
        <v>0</v>
      </c>
    </row>
    <row r="34" spans="1:30" x14ac:dyDescent="0.35">
      <c r="A34" s="131"/>
      <c r="B34" s="156"/>
      <c r="C34" s="22" t="str">
        <f t="shared" si="17"/>
        <v>SMI 1.5</v>
      </c>
      <c r="D34" s="11">
        <f t="shared" si="12"/>
        <v>64.800000000000011</v>
      </c>
      <c r="E34" s="11">
        <f t="shared" si="18"/>
        <v>2.5920000000000005</v>
      </c>
      <c r="F34" s="142"/>
      <c r="G34" s="140">
        <f>IF(G30+G31+G32+G33=F30,0,IF('Period RSL data'!D9-G10-G16-G22-G28&lt;'Charging RSL Spilt per grade'!F30-(G30+G31+G32+G33),'Period RSL data'!D9-G10-G16-G22-G28,'Charging RSL Spilt per grade'!F30-('Charging RSL Spilt per grade'!G30+G31+G32+G33)))</f>
        <v>0</v>
      </c>
      <c r="H34" s="135"/>
      <c r="I34" s="140">
        <f>IF(I30+I31+I32+I33=H30,0,IF('Period RSL data'!E9-I10-I16-I22-I28&lt;'Charging RSL Spilt per grade'!H30-(I30+I31+I32+I33),'Period RSL data'!E9-I10-I16-I22-I28,'Charging RSL Spilt per grade'!H30-('Charging RSL Spilt per grade'!I30+I31+I32+I33)))</f>
        <v>0</v>
      </c>
      <c r="J34" s="135"/>
      <c r="K34" s="140">
        <f>IF(K30+K31+K32+K33=J30,0,IF('Period RSL data'!F9-K10-K16-K22-K28&lt;'Charging RSL Spilt per grade'!J30-(K30+K31+K32+K33),'Period RSL data'!F9-K10-K16-K22-K28,'Charging RSL Spilt per grade'!J30-('Charging RSL Spilt per grade'!K30+K31+K32+K33)))</f>
        <v>0</v>
      </c>
      <c r="L34" s="135"/>
      <c r="M34" s="140">
        <f>IF(M30+M31+M32+M33=L30,0,IF('Period RSL data'!G9-M10-M16-M22-M28&lt;'Charging RSL Spilt per grade'!L30-(M30+M31+M32+M33),'Period RSL data'!G9-M10-M16-M22-M28,'Charging RSL Spilt per grade'!L30-('Charging RSL Spilt per grade'!M30+M31+M32+M33)))</f>
        <v>0</v>
      </c>
      <c r="N34" s="135"/>
      <c r="O34" s="140">
        <f>IF(O30+O31+O32+O33=N30,0,IF('Period RSL data'!H9-O10-O16-O22-O28&lt;'Charging RSL Spilt per grade'!N30-(O30+O31+O33+O33),'Period RSL data'!H9-O10-O16-O22-O28,'Charging RSL Spilt per grade'!N30-('Charging RSL Spilt per grade'!O30+O31+O32+O33)))</f>
        <v>0</v>
      </c>
      <c r="P34" s="135"/>
      <c r="Q34" s="140">
        <f>IF(Q30+Q31+Q32+Q33=P30,0,IF('Period RSL data'!I9-Q10-Q16-Q22-Q28&lt;'Charging RSL Spilt per grade'!P30-(Q30+Q31+Q33+Q33),'Period RSL data'!I9-Q10-Q16-Q22-Q28,'Charging RSL Spilt per grade'!P30-('Charging RSL Spilt per grade'!Q30+Q31+Q32+Q33)))</f>
        <v>0</v>
      </c>
      <c r="R34" s="135"/>
      <c r="S34" s="140">
        <f>IF(S30+S31+S32+S33=R30,0,IF('Period RSL data'!J9-S10-S16-S22-S28&lt;'Charging RSL Spilt per grade'!R30-(S30+S31+S33+S33),'Period RSL data'!J9-S10-S16-S22-S28,'Charging RSL Spilt per grade'!R30-('Charging RSL Spilt per grade'!S30+S31+S32+S33)))</f>
        <v>0</v>
      </c>
      <c r="T34" s="135"/>
      <c r="U34" s="140">
        <f>IF(U30+U31+U32+U33=T30,0,IF('Period RSL data'!K9-U10-U16-U22-U28&lt;'Charging RSL Spilt per grade'!T30-(U30+U31+U33+U33),'Period RSL data'!K9-U10-U16-U22-U28,'Charging RSL Spilt per grade'!T30-('Charging RSL Spilt per grade'!U30+U31+U32+U33)))</f>
        <v>0</v>
      </c>
      <c r="V34" s="135"/>
      <c r="W34" s="140">
        <f>IF(W30+W31+W32+W33=V30,0,IF('Period RSL data'!L9-W10-W16-W22-W28&lt;'Charging RSL Spilt per grade'!V30-(W30+W31+W33+W33),'Period RSL data'!L9-W10-W16-W22-W28,'Charging RSL Spilt per grade'!V30-('Charging RSL Spilt per grade'!W30+W31+W32+W33)))</f>
        <v>0</v>
      </c>
      <c r="X34" s="135"/>
      <c r="Y34" s="140">
        <f>IF(Y30+Y31+Y32+Y33=X30,0,IF('Period RSL data'!M9-Y10-Y16-Y22-Y28&lt;'Charging RSL Spilt per grade'!X30-(Y30+Y31+Y33+Y33),'Period RSL data'!M9-Y10-Y16-Y22-Y28,'Charging RSL Spilt per grade'!X30-('Charging RSL Spilt per grade'!Y30+Y31+Y32+Y33)))</f>
        <v>0</v>
      </c>
      <c r="Z34" s="135"/>
      <c r="AA34" s="140">
        <f>IF(AA30+AA31+AA32+AA33=Z30,0,IF('Period RSL data'!N9-AA10-AA16-AA22-AA28&lt;'Charging RSL Spilt per grade'!Z30-(AA30+AA31+AA33+AA33),'Period RSL data'!N9-AA10-AA16-AA22-AA28,'Charging RSL Spilt per grade'!Z30-('Charging RSL Spilt per grade'!AA30+AA31+AA32+AA33)))</f>
        <v>0</v>
      </c>
      <c r="AB34" s="135"/>
      <c r="AC34" s="140">
        <f>IF(AC30+AC31+AC32+AC33=AB30,0,IF('Period RSL data'!O9-AC10-AC16-AC22-AC28&lt;'Charging RSL Spilt per grade'!AB30-(AC30+AC31+AC33+AC33),'Period RSL data'!O9-AC10-AC16-AC22-AC28,'Charging RSL Spilt per grade'!AB30-('Charging RSL Spilt per grade'!AC30+AC31+AC32+AC33)))</f>
        <v>0</v>
      </c>
      <c r="AD34" s="136">
        <f t="shared" si="1"/>
        <v>0</v>
      </c>
    </row>
    <row r="35" spans="1:30" x14ac:dyDescent="0.35">
      <c r="A35" s="131"/>
      <c r="B35" s="156"/>
      <c r="C35" s="22" t="str">
        <f t="shared" si="17"/>
        <v>SMI Dbl</v>
      </c>
      <c r="D35" s="11">
        <f t="shared" si="12"/>
        <v>86.4</v>
      </c>
      <c r="E35" s="11">
        <f t="shared" si="18"/>
        <v>3.4560000000000004</v>
      </c>
      <c r="F35" s="142"/>
      <c r="G35" s="141">
        <f>IF(G30+G31+G32+G33+G34=F30,0,IF('Period RSL data'!D10-G11-G17-G23-G29&lt;'Charging RSL Spilt per grade'!F30-(G30+G31+G32+G33+G34),'Period RSL data'!D10-G11-G17-G23-G29,'Charging RSL Spilt per grade'!F30-('Charging RSL Spilt per grade'!G30+G31+G32+G33+G34)))</f>
        <v>0</v>
      </c>
      <c r="H35" s="135"/>
      <c r="I35" s="141">
        <f>IF(I30+I31+I32+I33+I34=H30,0,IF('Period RSL data'!E10-I11-I17-I23-I29&lt;'Charging RSL Spilt per grade'!H30-(I30+I31+I32+I33+I34),'Period RSL data'!E10-I11-I17-I23-I29,'Charging RSL Spilt per grade'!H30-('Charging RSL Spilt per grade'!I30+I31+I32+I33+I34)))</f>
        <v>0</v>
      </c>
      <c r="J35" s="135"/>
      <c r="K35" s="141">
        <f>IF(K30+K31+K32+K33+K34=J30,0,IF('Period RSL data'!F10-K11-K17-K23-K29&lt;'Charging RSL Spilt per grade'!J30-(K30+K31+K32+K33+K34),'Period RSL data'!F10-K11-K17-K23-K29,'Charging RSL Spilt per grade'!J30-('Charging RSL Spilt per grade'!K30+K31+K32+K33+K34)))</f>
        <v>0</v>
      </c>
      <c r="L35" s="135"/>
      <c r="M35" s="141">
        <f>IF(M30+M31+M32+M33+M34=L30,0,IF('Period RSL data'!G10-M11-M17-M23-M29&lt;'Charging RSL Spilt per grade'!L30-(M30+M31+M32+M33+M34),'Period RSL data'!G10-M11-M17-M23-M29,'Charging RSL Spilt per grade'!L30-('Charging RSL Spilt per grade'!M30+M31+M32+M33+M34)))</f>
        <v>0</v>
      </c>
      <c r="N35" s="135"/>
      <c r="O35" s="141">
        <f>IF(O30+O31+O32+O33+O34=N30,0,IF('Period RSL data'!H10-O11-O17-O23-O29&lt;'Charging RSL Spilt per grade'!N30-(O30+O31+O32+O33+O34),'Period RSL data'!H10-O11-O17-O23-O29,'Charging RSL Spilt per grade'!N30-('Charging RSL Spilt per grade'!O30+O31+O32+O33+O34)))</f>
        <v>0</v>
      </c>
      <c r="P35" s="135"/>
      <c r="Q35" s="141">
        <f>IF(Q30+Q31+Q32+Q33+Q34=P30,0,IF('Period RSL data'!I10-Q11-Q17-Q23-Q29&lt;'Charging RSL Spilt per grade'!P30-(Q30+Q31+Q32+Q33+Q34),'Period RSL data'!I10-Q11-Q17-Q23-Q29,'Charging RSL Spilt per grade'!P30-('Charging RSL Spilt per grade'!Q30+Q31+Q32+Q33+Q34)))</f>
        <v>0</v>
      </c>
      <c r="R35" s="135"/>
      <c r="S35" s="141">
        <f>IF(S30+S31+S32+S33+S34=R30,0,IF('Period RSL data'!J10-S11-S17-S23-S29&lt;'Charging RSL Spilt per grade'!R30-(S30+S31+S32+S33+S34),'Period RSL data'!J10-S11-S17-S23-S29,'Charging RSL Spilt per grade'!R30-('Charging RSL Spilt per grade'!S30+S31+S32+S33+S34)))</f>
        <v>0</v>
      </c>
      <c r="T35" s="135"/>
      <c r="U35" s="141">
        <f>IF(U30+U31+U32+U33+U34=T30,0,IF('Period RSL data'!K10-U11-U17-U23-U29&lt;'Charging RSL Spilt per grade'!T30-(U30+U31+U32+U33+U34),'Period RSL data'!K10-U11-U17-U23-U29,'Charging RSL Spilt per grade'!T30-('Charging RSL Spilt per grade'!U30+U31+U32+U33+U34)))</f>
        <v>0</v>
      </c>
      <c r="V35" s="135"/>
      <c r="W35" s="141">
        <f>IF(W30+W31+W32+W33+W34=V30,0,IF('Period RSL data'!L10-W11-W17-W23-W29&lt;'Charging RSL Spilt per grade'!V30-(W30+W31+W32+W33+W34),'Period RSL data'!L10-W11-W17-W23-W29,'Charging RSL Spilt per grade'!V30-('Charging RSL Spilt per grade'!W30+W31+W32+W33+W34)))</f>
        <v>0</v>
      </c>
      <c r="X35" s="135"/>
      <c r="Y35" s="141">
        <f>IF(Y30+Y31+Y32+Y33+Y34=X30,0,IF('Period RSL data'!M10-Y11-Y17-Y23-Y29&lt;'Charging RSL Spilt per grade'!X30-(Y30+Y31+Y32+Y33+Y34),'Period RSL data'!M10-Y11-Y17-Y23-Y29,'Charging RSL Spilt per grade'!X30-('Charging RSL Spilt per grade'!Y30+Y31+Y32+Y33+Y34)))</f>
        <v>0</v>
      </c>
      <c r="Z35" s="135"/>
      <c r="AA35" s="141">
        <f>IF(AA30+AA31+AA32+AA33+AA34=Z30,0,IF('Period RSL data'!N10-AA11-AA17-AA23-AA29&lt;'Charging RSL Spilt per grade'!Z30-(AA30+AA31+AA32+AA33+AA34),'Period RSL data'!N10-AA11-AA17-AA23-AA29,'Charging RSL Spilt per grade'!Z30-('Charging RSL Spilt per grade'!AA30+AA31+AA32+AA33+AA34)))</f>
        <v>0</v>
      </c>
      <c r="AB35" s="135"/>
      <c r="AC35" s="141">
        <f>IF(AC30+AC31+AC32+AC33+AC34=AB30,0,IF('Period RSL data'!O10-AC11-AC17-AC23-AC29&lt;'Charging RSL Spilt per grade'!AB30-(AC30+AC31+AC32+AC33+AC34),'Period RSL data'!O10-AC11-AC17-AC23-AC29,'Charging RSL Spilt per grade'!AB30-('Charging RSL Spilt per grade'!AC30+AC31+AC32+AC33+AC34)))</f>
        <v>0</v>
      </c>
      <c r="AD35" s="136">
        <f t="shared" si="1"/>
        <v>0</v>
      </c>
    </row>
    <row r="36" spans="1:30" x14ac:dyDescent="0.35">
      <c r="A36" s="131">
        <v>6</v>
      </c>
      <c r="B36" s="156">
        <f>'Annual data (rates, Bands, disc'!E8</f>
        <v>0.02</v>
      </c>
      <c r="C36" s="22" t="str">
        <f t="shared" ref="C36:C41" si="19">C6</f>
        <v>OV Single</v>
      </c>
      <c r="D36" s="11">
        <f t="shared" si="12"/>
        <v>65.900000000000006</v>
      </c>
      <c r="E36" s="11">
        <f>D36*$B$36</f>
        <v>1.3180000000000001</v>
      </c>
      <c r="F36" s="142"/>
      <c r="G36" s="134">
        <f>'Period RSL data'!D5-'Charging RSL Spilt per grade'!G30-G24-G18-G12-G6</f>
        <v>0</v>
      </c>
      <c r="H36" s="135"/>
      <c r="I36" s="134">
        <f>'Period RSL data'!E5-'Charging RSL Spilt per grade'!I30-I24-I18-I12-I6</f>
        <v>0</v>
      </c>
      <c r="J36" s="143"/>
      <c r="K36" s="134">
        <f>'Period RSL data'!F5-'Charging RSL Spilt per grade'!K30-K24-K18-K12-K6</f>
        <v>0</v>
      </c>
      <c r="L36" s="143"/>
      <c r="M36" s="144">
        <f>'Period RSL data'!G5-'Charging RSL Spilt per grade'!M30-M24-M18-M12-M6</f>
        <v>0</v>
      </c>
      <c r="N36" s="143"/>
      <c r="O36" s="144">
        <f>'Period RSL data'!H5-'Charging RSL Spilt per grade'!O30-O24-O18-O12-O6</f>
        <v>0</v>
      </c>
      <c r="P36" s="143"/>
      <c r="Q36" s="144">
        <f>'Period RSL data'!I5-'Charging RSL Spilt per grade'!Q30-Q24-Q18-Q12-Q6</f>
        <v>0</v>
      </c>
      <c r="R36" s="143"/>
      <c r="S36" s="144">
        <f>'Period RSL data'!J5-'Charging RSL Spilt per grade'!S30-S24-S18-S12-S6</f>
        <v>0</v>
      </c>
      <c r="T36" s="143"/>
      <c r="U36" s="144">
        <f>'Period RSL data'!K5-'Charging RSL Spilt per grade'!U30-U24-U18-U12-U6</f>
        <v>0</v>
      </c>
      <c r="V36" s="143"/>
      <c r="W36" s="144">
        <f>'Period RSL data'!L5-'Charging RSL Spilt per grade'!W30-W24-W18-W12-W6</f>
        <v>0</v>
      </c>
      <c r="X36" s="143"/>
      <c r="Y36" s="144">
        <f>'Period RSL data'!M5-'Charging RSL Spilt per grade'!Y30-Y24-Y18-Y12-Y6</f>
        <v>0</v>
      </c>
      <c r="Z36" s="143"/>
      <c r="AA36" s="144">
        <f>'Period RSL data'!N5-'Charging RSL Spilt per grade'!AA30-AA24-AA18-AA12-AA6</f>
        <v>0</v>
      </c>
      <c r="AB36" s="143"/>
      <c r="AC36" s="144">
        <f>'Period RSL data'!O5-'Charging RSL Spilt per grade'!AC30-AC24-AC18-AC12-AC6</f>
        <v>0</v>
      </c>
      <c r="AD36" s="136">
        <f t="shared" si="1"/>
        <v>0</v>
      </c>
    </row>
    <row r="37" spans="1:30" x14ac:dyDescent="0.35">
      <c r="A37" s="131"/>
      <c r="B37" s="156"/>
      <c r="C37" s="22" t="str">
        <f t="shared" si="19"/>
        <v>OV 1.5</v>
      </c>
      <c r="D37" s="11">
        <f t="shared" si="12"/>
        <v>98.850000000000009</v>
      </c>
      <c r="E37" s="11">
        <f t="shared" ref="E37:E41" si="20">D37*$B$36</f>
        <v>1.9770000000000003</v>
      </c>
      <c r="F37" s="142"/>
      <c r="G37" s="137">
        <f>'Period RSL data'!D6-'Charging RSL Spilt per grade'!G7-'Charging RSL Spilt per grade'!G13-'Charging RSL Spilt per grade'!G19-'Charging RSL Spilt per grade'!G25-'Charging RSL Spilt per grade'!G31</f>
        <v>0</v>
      </c>
      <c r="H37" s="135"/>
      <c r="I37" s="137">
        <f>'Period RSL data'!E6-'Charging RSL Spilt per grade'!I7-'Charging RSL Spilt per grade'!I13-'Charging RSL Spilt per grade'!I19-'Charging RSL Spilt per grade'!I25-'Charging RSL Spilt per grade'!I31</f>
        <v>0</v>
      </c>
      <c r="J37" s="143"/>
      <c r="K37" s="145">
        <f>'Period RSL data'!F6-'Charging RSL Spilt per grade'!K7-'Charging RSL Spilt per grade'!K13-'Charging RSL Spilt per grade'!K19-'Charging RSL Spilt per grade'!K25-'Charging RSL Spilt per grade'!K31</f>
        <v>0</v>
      </c>
      <c r="L37" s="143"/>
      <c r="M37" s="145">
        <f>'Period RSL data'!G6-'Charging RSL Spilt per grade'!M7-'Charging RSL Spilt per grade'!M13-'Charging RSL Spilt per grade'!M19-'Charging RSL Spilt per grade'!M25-'Charging RSL Spilt per grade'!M31</f>
        <v>0</v>
      </c>
      <c r="N37" s="143"/>
      <c r="O37" s="145">
        <f>'Period RSL data'!H6-'Charging RSL Spilt per grade'!O7-'Charging RSL Spilt per grade'!O13-'Charging RSL Spilt per grade'!O19-'Charging RSL Spilt per grade'!O25-'Charging RSL Spilt per grade'!O31</f>
        <v>0</v>
      </c>
      <c r="P37" s="143"/>
      <c r="Q37" s="145">
        <f>'Period RSL data'!I6-'Charging RSL Spilt per grade'!Q7-'Charging RSL Spilt per grade'!Q13-'Charging RSL Spilt per grade'!Q19-'Charging RSL Spilt per grade'!Q25-'Charging RSL Spilt per grade'!Q31</f>
        <v>0</v>
      </c>
      <c r="R37" s="143"/>
      <c r="S37" s="145">
        <f>'Period RSL data'!J6-'Charging RSL Spilt per grade'!S7-'Charging RSL Spilt per grade'!S13-'Charging RSL Spilt per grade'!S19-'Charging RSL Spilt per grade'!S25-'Charging RSL Spilt per grade'!S31</f>
        <v>0</v>
      </c>
      <c r="T37" s="143"/>
      <c r="U37" s="145">
        <f>'Period RSL data'!K6-'Charging RSL Spilt per grade'!U7-'Charging RSL Spilt per grade'!U13-'Charging RSL Spilt per grade'!U19-'Charging RSL Spilt per grade'!U25-'Charging RSL Spilt per grade'!U31</f>
        <v>0</v>
      </c>
      <c r="V37" s="143"/>
      <c r="W37" s="145">
        <f>'Period RSL data'!L6-'Charging RSL Spilt per grade'!W7-'Charging RSL Spilt per grade'!W13-'Charging RSL Spilt per grade'!W19-'Charging RSL Spilt per grade'!W25-'Charging RSL Spilt per grade'!W31</f>
        <v>0</v>
      </c>
      <c r="X37" s="143"/>
      <c r="Y37" s="145">
        <f>'Period RSL data'!M6-'Charging RSL Spilt per grade'!Y7-'Charging RSL Spilt per grade'!Y13-'Charging RSL Spilt per grade'!Y19-'Charging RSL Spilt per grade'!Y25-'Charging RSL Spilt per grade'!Y31</f>
        <v>0</v>
      </c>
      <c r="Z37" s="143"/>
      <c r="AA37" s="145">
        <f>'Period RSL data'!N6-'Charging RSL Spilt per grade'!AA7-'Charging RSL Spilt per grade'!AA13-'Charging RSL Spilt per grade'!AA19-'Charging RSL Spilt per grade'!AA25-'Charging RSL Spilt per grade'!AA31</f>
        <v>0</v>
      </c>
      <c r="AB37" s="143"/>
      <c r="AC37" s="145">
        <f>'Period RSL data'!O6-'Charging RSL Spilt per grade'!AC7-'Charging RSL Spilt per grade'!AC13-'Charging RSL Spilt per grade'!AC19-'Charging RSL Spilt per grade'!AC25-'Charging RSL Spilt per grade'!AC31</f>
        <v>0</v>
      </c>
      <c r="AD37" s="136">
        <f t="shared" si="1"/>
        <v>0</v>
      </c>
    </row>
    <row r="38" spans="1:30" x14ac:dyDescent="0.35">
      <c r="A38" s="131"/>
      <c r="B38" s="156"/>
      <c r="C38" s="22" t="str">
        <f t="shared" si="19"/>
        <v>OV Dbl</v>
      </c>
      <c r="D38" s="11">
        <f t="shared" si="12"/>
        <v>131.80000000000001</v>
      </c>
      <c r="E38" s="11">
        <f t="shared" si="20"/>
        <v>2.6360000000000001</v>
      </c>
      <c r="F38" s="142"/>
      <c r="G38" s="138">
        <f>'Period RSL data'!D7-'Charging RSL Spilt per grade'!G8-'Charging RSL Spilt per grade'!G14-'Charging RSL Spilt per grade'!G20-'Charging RSL Spilt per grade'!G26-'Charging RSL Spilt per grade'!G32</f>
        <v>0</v>
      </c>
      <c r="H38" s="135"/>
      <c r="I38" s="138">
        <f>'Period RSL data'!E7-'Charging RSL Spilt per grade'!I8-'Charging RSL Spilt per grade'!I14-'Charging RSL Spilt per grade'!I20-'Charging RSL Spilt per grade'!I26-'Charging RSL Spilt per grade'!I32</f>
        <v>0</v>
      </c>
      <c r="J38" s="143"/>
      <c r="K38" s="146">
        <f>'Period RSL data'!F7-'Charging RSL Spilt per grade'!K8-'Charging RSL Spilt per grade'!K14-'Charging RSL Spilt per grade'!K20-'Charging RSL Spilt per grade'!K26-'Charging RSL Spilt per grade'!K32</f>
        <v>0</v>
      </c>
      <c r="L38" s="143"/>
      <c r="M38" s="146">
        <f>'Period RSL data'!G7-'Charging RSL Spilt per grade'!M8-'Charging RSL Spilt per grade'!M14-'Charging RSL Spilt per grade'!M20-'Charging RSL Spilt per grade'!M26-'Charging RSL Spilt per grade'!M32</f>
        <v>0</v>
      </c>
      <c r="N38" s="143"/>
      <c r="O38" s="146">
        <f>'Period RSL data'!H7-'Charging RSL Spilt per grade'!O8-'Charging RSL Spilt per grade'!O14-'Charging RSL Spilt per grade'!O20-'Charging RSL Spilt per grade'!O26-'Charging RSL Spilt per grade'!O32</f>
        <v>0</v>
      </c>
      <c r="P38" s="143"/>
      <c r="Q38" s="146">
        <f>'Period RSL data'!I7-'Charging RSL Spilt per grade'!Q8-'Charging RSL Spilt per grade'!Q14-'Charging RSL Spilt per grade'!Q20-'Charging RSL Spilt per grade'!Q26-'Charging RSL Spilt per grade'!Q32</f>
        <v>0</v>
      </c>
      <c r="R38" s="143"/>
      <c r="S38" s="146">
        <f>'Period RSL data'!J7-'Charging RSL Spilt per grade'!S8-'Charging RSL Spilt per grade'!S14-'Charging RSL Spilt per grade'!S20-'Charging RSL Spilt per grade'!S26-'Charging RSL Spilt per grade'!S32</f>
        <v>0</v>
      </c>
      <c r="T38" s="143"/>
      <c r="U38" s="146">
        <f>'Period RSL data'!K7-'Charging RSL Spilt per grade'!U8-'Charging RSL Spilt per grade'!U14-'Charging RSL Spilt per grade'!U20-'Charging RSL Spilt per grade'!U26-'Charging RSL Spilt per grade'!U32</f>
        <v>0</v>
      </c>
      <c r="V38" s="143"/>
      <c r="W38" s="146">
        <f>'Period RSL data'!L7-'Charging RSL Spilt per grade'!W8-'Charging RSL Spilt per grade'!W14-'Charging RSL Spilt per grade'!W20-'Charging RSL Spilt per grade'!W26-'Charging RSL Spilt per grade'!W32</f>
        <v>0</v>
      </c>
      <c r="X38" s="143"/>
      <c r="Y38" s="146">
        <f>'Period RSL data'!M7-'Charging RSL Spilt per grade'!Y8-'Charging RSL Spilt per grade'!Y14-'Charging RSL Spilt per grade'!Y20-'Charging RSL Spilt per grade'!Y26-'Charging RSL Spilt per grade'!Y32</f>
        <v>0</v>
      </c>
      <c r="Z38" s="143"/>
      <c r="AA38" s="146">
        <f>'Period RSL data'!N7-'Charging RSL Spilt per grade'!AA8-'Charging RSL Spilt per grade'!AA14-'Charging RSL Spilt per grade'!AA20-'Charging RSL Spilt per grade'!AA26-'Charging RSL Spilt per grade'!AA32</f>
        <v>0</v>
      </c>
      <c r="AB38" s="143"/>
      <c r="AC38" s="146">
        <f>'Period RSL data'!O7-'Charging RSL Spilt per grade'!AC8-'Charging RSL Spilt per grade'!AC14-'Charging RSL Spilt per grade'!AC20-'Charging RSL Spilt per grade'!AC26-'Charging RSL Spilt per grade'!AC32</f>
        <v>0</v>
      </c>
      <c r="AD38" s="136">
        <f t="shared" si="1"/>
        <v>0</v>
      </c>
    </row>
    <row r="39" spans="1:30" x14ac:dyDescent="0.35">
      <c r="A39" s="131"/>
      <c r="B39" s="156"/>
      <c r="C39" s="22" t="str">
        <f t="shared" si="19"/>
        <v>SMI Single</v>
      </c>
      <c r="D39" s="11">
        <f t="shared" si="12"/>
        <v>43.2</v>
      </c>
      <c r="E39" s="11">
        <f t="shared" si="20"/>
        <v>0.8640000000000001</v>
      </c>
      <c r="F39" s="142"/>
      <c r="G39" s="139">
        <f>'Period RSL data'!D8-'Charging RSL Spilt per grade'!G9-'Charging RSL Spilt per grade'!G15-'Charging RSL Spilt per grade'!G21-'Charging RSL Spilt per grade'!G27-'Charging RSL Spilt per grade'!G33</f>
        <v>0</v>
      </c>
      <c r="H39" s="135"/>
      <c r="I39" s="139">
        <f>'Period RSL data'!E8-'Charging RSL Spilt per grade'!I9-'Charging RSL Spilt per grade'!I15-'Charging RSL Spilt per grade'!I21-'Charging RSL Spilt per grade'!I27-'Charging RSL Spilt per grade'!I33</f>
        <v>0</v>
      </c>
      <c r="J39" s="143"/>
      <c r="K39" s="147">
        <f>'Period RSL data'!F8-'Charging RSL Spilt per grade'!K9-'Charging RSL Spilt per grade'!K15-'Charging RSL Spilt per grade'!K21-'Charging RSL Spilt per grade'!K27-'Charging RSL Spilt per grade'!K33</f>
        <v>0</v>
      </c>
      <c r="L39" s="143"/>
      <c r="M39" s="147">
        <f>'Period RSL data'!G8-'Charging RSL Spilt per grade'!M9-'Charging RSL Spilt per grade'!M15-'Charging RSL Spilt per grade'!M21-'Charging RSL Spilt per grade'!M27-'Charging RSL Spilt per grade'!M33</f>
        <v>0</v>
      </c>
      <c r="N39" s="143"/>
      <c r="O39" s="147">
        <f>'Period RSL data'!H8-'Charging RSL Spilt per grade'!O9-'Charging RSL Spilt per grade'!O15-'Charging RSL Spilt per grade'!O21-'Charging RSL Spilt per grade'!O27-'Charging RSL Spilt per grade'!O33</f>
        <v>0</v>
      </c>
      <c r="P39" s="143"/>
      <c r="Q39" s="147">
        <f>'Period RSL data'!I8-'Charging RSL Spilt per grade'!Q9-'Charging RSL Spilt per grade'!Q15-'Charging RSL Spilt per grade'!Q21-'Charging RSL Spilt per grade'!Q27-'Charging RSL Spilt per grade'!Q33</f>
        <v>0</v>
      </c>
      <c r="R39" s="143"/>
      <c r="S39" s="147">
        <f>'Period RSL data'!J8-'Charging RSL Spilt per grade'!S9-'Charging RSL Spilt per grade'!S15-'Charging RSL Spilt per grade'!S21-'Charging RSL Spilt per grade'!S27-'Charging RSL Spilt per grade'!S33</f>
        <v>0</v>
      </c>
      <c r="T39" s="143"/>
      <c r="U39" s="147">
        <f>'Period RSL data'!K8-'Charging RSL Spilt per grade'!U9-'Charging RSL Spilt per grade'!U15-'Charging RSL Spilt per grade'!U21-'Charging RSL Spilt per grade'!U27-'Charging RSL Spilt per grade'!U33</f>
        <v>0</v>
      </c>
      <c r="V39" s="143"/>
      <c r="W39" s="147">
        <f>'Period RSL data'!L8-'Charging RSL Spilt per grade'!W9-'Charging RSL Spilt per grade'!W15-'Charging RSL Spilt per grade'!W21-'Charging RSL Spilt per grade'!W27-'Charging RSL Spilt per grade'!W33</f>
        <v>0</v>
      </c>
      <c r="X39" s="143"/>
      <c r="Y39" s="147">
        <f>'Period RSL data'!M8-'Charging RSL Spilt per grade'!Y9-'Charging RSL Spilt per grade'!Y15-'Charging RSL Spilt per grade'!Y21-'Charging RSL Spilt per grade'!Y27-'Charging RSL Spilt per grade'!Y33</f>
        <v>0</v>
      </c>
      <c r="Z39" s="143"/>
      <c r="AA39" s="147">
        <f>'Period RSL data'!N8-'Charging RSL Spilt per grade'!AA9-'Charging RSL Spilt per grade'!AA15-'Charging RSL Spilt per grade'!AA21-'Charging RSL Spilt per grade'!AA27-'Charging RSL Spilt per grade'!AA33</f>
        <v>0</v>
      </c>
      <c r="AB39" s="143"/>
      <c r="AC39" s="147">
        <f>'Period RSL data'!O8-'Charging RSL Spilt per grade'!AC9-'Charging RSL Spilt per grade'!AC15-'Charging RSL Spilt per grade'!AC21-'Charging RSL Spilt per grade'!AC27-'Charging RSL Spilt per grade'!AC33</f>
        <v>0</v>
      </c>
      <c r="AD39" s="136">
        <f t="shared" si="1"/>
        <v>0</v>
      </c>
    </row>
    <row r="40" spans="1:30" x14ac:dyDescent="0.35">
      <c r="A40" s="131"/>
      <c r="B40" s="156"/>
      <c r="C40" s="22" t="str">
        <f t="shared" si="19"/>
        <v>SMI 1.5</v>
      </c>
      <c r="D40" s="11">
        <f t="shared" si="12"/>
        <v>64.800000000000011</v>
      </c>
      <c r="E40" s="11">
        <f t="shared" si="20"/>
        <v>1.2960000000000003</v>
      </c>
      <c r="F40" s="142"/>
      <c r="G40" s="140">
        <f>'Period RSL data'!D9-'Charging RSL Spilt per grade'!G10-'Charging RSL Spilt per grade'!G16-'Charging RSL Spilt per grade'!G22-'Charging RSL Spilt per grade'!G28-'Charging RSL Spilt per grade'!G34</f>
        <v>0</v>
      </c>
      <c r="H40" s="135"/>
      <c r="I40" s="140">
        <f>'Period RSL data'!E9-'Charging RSL Spilt per grade'!I10-'Charging RSL Spilt per grade'!I16-'Charging RSL Spilt per grade'!I22-'Charging RSL Spilt per grade'!I28-'Charging RSL Spilt per grade'!I34</f>
        <v>0</v>
      </c>
      <c r="J40" s="143"/>
      <c r="K40" s="148">
        <f>'Period RSL data'!F9-'Charging RSL Spilt per grade'!K10-'Charging RSL Spilt per grade'!K16-'Charging RSL Spilt per grade'!K22-'Charging RSL Spilt per grade'!K28-'Charging RSL Spilt per grade'!K34</f>
        <v>0</v>
      </c>
      <c r="L40" s="143"/>
      <c r="M40" s="148">
        <f>'Period RSL data'!G9-'Charging RSL Spilt per grade'!M10-'Charging RSL Spilt per grade'!M16-'Charging RSL Spilt per grade'!M22-'Charging RSL Spilt per grade'!M28-'Charging RSL Spilt per grade'!M34</f>
        <v>0</v>
      </c>
      <c r="N40" s="143"/>
      <c r="O40" s="148">
        <f>'Period RSL data'!H9-'Charging RSL Spilt per grade'!O10-'Charging RSL Spilt per grade'!O16-'Charging RSL Spilt per grade'!O22-'Charging RSL Spilt per grade'!O28-'Charging RSL Spilt per grade'!O34</f>
        <v>0</v>
      </c>
      <c r="P40" s="143"/>
      <c r="Q40" s="148">
        <f>'Period RSL data'!I9-'Charging RSL Spilt per grade'!Q10-'Charging RSL Spilt per grade'!Q16-'Charging RSL Spilt per grade'!Q22-'Charging RSL Spilt per grade'!Q28-'Charging RSL Spilt per grade'!Q34</f>
        <v>0</v>
      </c>
      <c r="R40" s="143"/>
      <c r="S40" s="148">
        <f>'Period RSL data'!J9-'Charging RSL Spilt per grade'!S10-'Charging RSL Spilt per grade'!S16-'Charging RSL Spilt per grade'!S22-'Charging RSL Spilt per grade'!S28-'Charging RSL Spilt per grade'!S34</f>
        <v>0</v>
      </c>
      <c r="T40" s="143"/>
      <c r="U40" s="148">
        <f>'Period RSL data'!K9-'Charging RSL Spilt per grade'!U10-'Charging RSL Spilt per grade'!U16-'Charging RSL Spilt per grade'!U22-'Charging RSL Spilt per grade'!U28-'Charging RSL Spilt per grade'!U34</f>
        <v>0</v>
      </c>
      <c r="V40" s="143"/>
      <c r="W40" s="148">
        <f>'Period RSL data'!L9-'Charging RSL Spilt per grade'!W10-'Charging RSL Spilt per grade'!W16-'Charging RSL Spilt per grade'!W22-'Charging RSL Spilt per grade'!W28-'Charging RSL Spilt per grade'!W34</f>
        <v>0</v>
      </c>
      <c r="X40" s="143"/>
      <c r="Y40" s="148">
        <f>'Period RSL data'!M9-'Charging RSL Spilt per grade'!Y10-'Charging RSL Spilt per grade'!Y16-'Charging RSL Spilt per grade'!Y22-'Charging RSL Spilt per grade'!Y28-'Charging RSL Spilt per grade'!Y34</f>
        <v>0</v>
      </c>
      <c r="Z40" s="143"/>
      <c r="AA40" s="148">
        <f>'Period RSL data'!N9-'Charging RSL Spilt per grade'!AA10-'Charging RSL Spilt per grade'!AA16-'Charging RSL Spilt per grade'!AA22-'Charging RSL Spilt per grade'!AA28-'Charging RSL Spilt per grade'!AA34</f>
        <v>0</v>
      </c>
      <c r="AB40" s="143"/>
      <c r="AC40" s="148">
        <f>'Period RSL data'!O9-'Charging RSL Spilt per grade'!AC10-'Charging RSL Spilt per grade'!AC16-'Charging RSL Spilt per grade'!AC22-'Charging RSL Spilt per grade'!AC28-'Charging RSL Spilt per grade'!AC34</f>
        <v>0</v>
      </c>
      <c r="AD40" s="136">
        <f t="shared" si="1"/>
        <v>0</v>
      </c>
    </row>
    <row r="41" spans="1:30" x14ac:dyDescent="0.35">
      <c r="A41" s="131"/>
      <c r="B41" s="156"/>
      <c r="C41" s="22" t="str">
        <f t="shared" si="19"/>
        <v>SMI Dbl</v>
      </c>
      <c r="D41" s="11">
        <f t="shared" si="12"/>
        <v>86.4</v>
      </c>
      <c r="E41" s="11">
        <f t="shared" si="20"/>
        <v>1.7280000000000002</v>
      </c>
      <c r="F41" s="142"/>
      <c r="G41" s="141">
        <f>'Period RSL data'!D10-'Charging RSL Spilt per grade'!G11-'Charging RSL Spilt per grade'!G17-'Charging RSL Spilt per grade'!G23-'Charging RSL Spilt per grade'!G29-'Charging RSL Spilt per grade'!G35</f>
        <v>0</v>
      </c>
      <c r="H41" s="135"/>
      <c r="I41" s="141">
        <f>'Period RSL data'!E10-'Charging RSL Spilt per grade'!I11-'Charging RSL Spilt per grade'!I17-'Charging RSL Spilt per grade'!I23-'Charging RSL Spilt per grade'!I29-'Charging RSL Spilt per grade'!I35</f>
        <v>0</v>
      </c>
      <c r="J41" s="143"/>
      <c r="K41" s="149">
        <f>'Period RSL data'!F10-'Charging RSL Spilt per grade'!K11-'Charging RSL Spilt per grade'!K17-'Charging RSL Spilt per grade'!K23-'Charging RSL Spilt per grade'!K29-'Charging RSL Spilt per grade'!K35</f>
        <v>0</v>
      </c>
      <c r="L41" s="143"/>
      <c r="M41" s="149">
        <f>'Period RSL data'!G10-'Charging RSL Spilt per grade'!M11-'Charging RSL Spilt per grade'!M17-'Charging RSL Spilt per grade'!M23-'Charging RSL Spilt per grade'!M29-'Charging RSL Spilt per grade'!M35</f>
        <v>0</v>
      </c>
      <c r="N41" s="143"/>
      <c r="O41" s="149">
        <f>'Period RSL data'!H10-'Charging RSL Spilt per grade'!O11-'Charging RSL Spilt per grade'!O17-'Charging RSL Spilt per grade'!O23-'Charging RSL Spilt per grade'!O29-'Charging RSL Spilt per grade'!O35</f>
        <v>0</v>
      </c>
      <c r="P41" s="143"/>
      <c r="Q41" s="149">
        <f>'Period RSL data'!I10-'Charging RSL Spilt per grade'!Q11-'Charging RSL Spilt per grade'!Q17-'Charging RSL Spilt per grade'!Q23-'Charging RSL Spilt per grade'!Q29-'Charging RSL Spilt per grade'!Q35</f>
        <v>0</v>
      </c>
      <c r="R41" s="143"/>
      <c r="S41" s="149">
        <f>'Period RSL data'!J10-'Charging RSL Spilt per grade'!S11-'Charging RSL Spilt per grade'!S17-'Charging RSL Spilt per grade'!S23-'Charging RSL Spilt per grade'!S29-'Charging RSL Spilt per grade'!S35</f>
        <v>0</v>
      </c>
      <c r="T41" s="143"/>
      <c r="U41" s="149">
        <f>'Period RSL data'!K10-'Charging RSL Spilt per grade'!U11-'Charging RSL Spilt per grade'!U17-'Charging RSL Spilt per grade'!U23-'Charging RSL Spilt per grade'!U29-'Charging RSL Spilt per grade'!U35</f>
        <v>0</v>
      </c>
      <c r="V41" s="143"/>
      <c r="W41" s="149">
        <f>'Period RSL data'!L10-'Charging RSL Spilt per grade'!W11-'Charging RSL Spilt per grade'!W17-'Charging RSL Spilt per grade'!W23-'Charging RSL Spilt per grade'!W29-'Charging RSL Spilt per grade'!W35</f>
        <v>0</v>
      </c>
      <c r="X41" s="143"/>
      <c r="Y41" s="149">
        <f>'Period RSL data'!M10-'Charging RSL Spilt per grade'!Y11-'Charging RSL Spilt per grade'!Y17-'Charging RSL Spilt per grade'!Y23-'Charging RSL Spilt per grade'!Y29-'Charging RSL Spilt per grade'!Y35</f>
        <v>0</v>
      </c>
      <c r="Z41" s="143"/>
      <c r="AA41" s="149">
        <f>'Period RSL data'!N10-'Charging RSL Spilt per grade'!AA11-'Charging RSL Spilt per grade'!AA17-'Charging RSL Spilt per grade'!AA23-'Charging RSL Spilt per grade'!AA29-'Charging RSL Spilt per grade'!AA35</f>
        <v>0</v>
      </c>
      <c r="AB41" s="143"/>
      <c r="AC41" s="149">
        <f>'Period RSL data'!O10-'Charging RSL Spilt per grade'!AC11-'Charging RSL Spilt per grade'!AC17-'Charging RSL Spilt per grade'!AC23-'Charging RSL Spilt per grade'!AC29-'Charging RSL Spilt per grade'!AC35</f>
        <v>0</v>
      </c>
      <c r="AD41" s="136">
        <f t="shared" si="1"/>
        <v>0</v>
      </c>
    </row>
    <row r="43" spans="1:30" x14ac:dyDescent="0.35">
      <c r="G43" s="150">
        <f t="shared" ref="G43:G48" si="21">G6+G12+G18+G24+G30+G36</f>
        <v>0</v>
      </c>
      <c r="I43" s="150">
        <f t="shared" ref="I43:I48" si="22">I6+I12+I18+I24+I30+I36</f>
        <v>0</v>
      </c>
      <c r="J43" s="136"/>
      <c r="K43" s="150">
        <f t="shared" ref="K43:K48" si="23">K6+K12+K18+K24+K30+K36</f>
        <v>0</v>
      </c>
      <c r="L43" s="136"/>
      <c r="M43" s="150">
        <f t="shared" ref="M43:M48" si="24">M6+M12+M18+M24+M30+M36</f>
        <v>0</v>
      </c>
      <c r="O43" s="150">
        <f t="shared" ref="O43:O48" si="25">O6+O12+O18+O24+O30+O36</f>
        <v>0</v>
      </c>
      <c r="Q43" s="150">
        <f t="shared" ref="Q43:Q48" si="26">Q6+Q12+Q18+Q24+Q30+Q36</f>
        <v>0</v>
      </c>
      <c r="S43" s="150">
        <f t="shared" ref="S43:S48" si="27">S6+S12+S18+S24+S30+S36</f>
        <v>0</v>
      </c>
      <c r="U43" s="150">
        <f t="shared" ref="U43:U48" si="28">U6+U12+U18+U24+U30+U36</f>
        <v>0</v>
      </c>
      <c r="W43" s="150">
        <f t="shared" ref="W43:W48" si="29">W6+W12+W18+W24+W30+W36</f>
        <v>0</v>
      </c>
      <c r="Y43" s="150">
        <f t="shared" ref="Y43:Y48" si="30">Y6+Y12+Y18+Y24+Y30+Y36</f>
        <v>0</v>
      </c>
      <c r="AA43" s="150">
        <f t="shared" ref="AA43:AA48" si="31">AA6+AA12+AA18+AA24+AA30+AA36</f>
        <v>0</v>
      </c>
      <c r="AC43" s="150">
        <f t="shared" ref="AC43:AC48" si="32">AC6+AC12+AC18+AC24+AC30+AC36</f>
        <v>0</v>
      </c>
    </row>
    <row r="44" spans="1:30" x14ac:dyDescent="0.35">
      <c r="G44" s="151">
        <f t="shared" si="21"/>
        <v>0</v>
      </c>
      <c r="I44" s="151">
        <f t="shared" si="22"/>
        <v>0</v>
      </c>
      <c r="J44" s="136"/>
      <c r="K44" s="151">
        <f t="shared" si="23"/>
        <v>0</v>
      </c>
      <c r="L44" s="136"/>
      <c r="M44" s="151">
        <f t="shared" si="24"/>
        <v>0</v>
      </c>
      <c r="O44" s="151">
        <f t="shared" si="25"/>
        <v>0</v>
      </c>
      <c r="Q44" s="151">
        <f t="shared" si="26"/>
        <v>0</v>
      </c>
      <c r="S44" s="151">
        <f t="shared" si="27"/>
        <v>0</v>
      </c>
      <c r="U44" s="151">
        <f t="shared" si="28"/>
        <v>0</v>
      </c>
      <c r="W44" s="151">
        <f t="shared" si="29"/>
        <v>0</v>
      </c>
      <c r="Y44" s="151">
        <f t="shared" si="30"/>
        <v>0</v>
      </c>
      <c r="AA44" s="151">
        <f t="shared" si="31"/>
        <v>0</v>
      </c>
      <c r="AC44" s="151">
        <f t="shared" si="32"/>
        <v>0</v>
      </c>
    </row>
    <row r="45" spans="1:30" x14ac:dyDescent="0.35">
      <c r="G45" s="152">
        <f t="shared" si="21"/>
        <v>0</v>
      </c>
      <c r="I45" s="152">
        <f t="shared" si="22"/>
        <v>0</v>
      </c>
      <c r="J45" s="136"/>
      <c r="K45" s="152">
        <f t="shared" si="23"/>
        <v>0</v>
      </c>
      <c r="L45" s="136"/>
      <c r="M45" s="152">
        <f t="shared" si="24"/>
        <v>0</v>
      </c>
      <c r="O45" s="152">
        <f t="shared" si="25"/>
        <v>0</v>
      </c>
      <c r="Q45" s="152">
        <f t="shared" si="26"/>
        <v>0</v>
      </c>
      <c r="S45" s="152">
        <f t="shared" si="27"/>
        <v>0</v>
      </c>
      <c r="U45" s="152">
        <f t="shared" si="28"/>
        <v>0</v>
      </c>
      <c r="W45" s="152">
        <f t="shared" si="29"/>
        <v>0</v>
      </c>
      <c r="Y45" s="152">
        <f t="shared" si="30"/>
        <v>0</v>
      </c>
      <c r="AA45" s="152">
        <f t="shared" si="31"/>
        <v>0</v>
      </c>
      <c r="AC45" s="152">
        <f t="shared" si="32"/>
        <v>0</v>
      </c>
    </row>
    <row r="46" spans="1:30" x14ac:dyDescent="0.35">
      <c r="G46" s="153">
        <f t="shared" si="21"/>
        <v>0</v>
      </c>
      <c r="I46" s="153">
        <f t="shared" si="22"/>
        <v>0</v>
      </c>
      <c r="J46" s="136"/>
      <c r="K46" s="153">
        <f t="shared" si="23"/>
        <v>0</v>
      </c>
      <c r="L46" s="136"/>
      <c r="M46" s="153">
        <f t="shared" si="24"/>
        <v>0</v>
      </c>
      <c r="O46" s="153">
        <f t="shared" si="25"/>
        <v>0</v>
      </c>
      <c r="Q46" s="153">
        <f t="shared" si="26"/>
        <v>0</v>
      </c>
      <c r="S46" s="153">
        <f t="shared" si="27"/>
        <v>0</v>
      </c>
      <c r="U46" s="153">
        <f t="shared" si="28"/>
        <v>0</v>
      </c>
      <c r="W46" s="153">
        <f t="shared" si="29"/>
        <v>0</v>
      </c>
      <c r="Y46" s="153">
        <f t="shared" si="30"/>
        <v>0</v>
      </c>
      <c r="AA46" s="153">
        <f t="shared" si="31"/>
        <v>0</v>
      </c>
      <c r="AC46" s="153">
        <f t="shared" si="32"/>
        <v>0</v>
      </c>
    </row>
    <row r="47" spans="1:30" x14ac:dyDescent="0.35">
      <c r="G47" s="154">
        <f t="shared" si="21"/>
        <v>0</v>
      </c>
      <c r="I47" s="154">
        <f t="shared" si="22"/>
        <v>0</v>
      </c>
      <c r="J47" s="136"/>
      <c r="K47" s="154">
        <f t="shared" si="23"/>
        <v>0</v>
      </c>
      <c r="L47" s="136"/>
      <c r="M47" s="154">
        <f t="shared" si="24"/>
        <v>0</v>
      </c>
      <c r="O47" s="154">
        <f t="shared" si="25"/>
        <v>0</v>
      </c>
      <c r="Q47" s="154">
        <f t="shared" si="26"/>
        <v>0</v>
      </c>
      <c r="S47" s="154">
        <f t="shared" si="27"/>
        <v>0</v>
      </c>
      <c r="U47" s="154">
        <f t="shared" si="28"/>
        <v>0</v>
      </c>
      <c r="W47" s="154">
        <f t="shared" si="29"/>
        <v>0</v>
      </c>
      <c r="Y47" s="154">
        <f t="shared" si="30"/>
        <v>0</v>
      </c>
      <c r="AA47" s="154">
        <f t="shared" si="31"/>
        <v>0</v>
      </c>
      <c r="AC47" s="154">
        <f t="shared" si="32"/>
        <v>0</v>
      </c>
    </row>
    <row r="48" spans="1:30" x14ac:dyDescent="0.35">
      <c r="G48" s="155">
        <f t="shared" si="21"/>
        <v>0</v>
      </c>
      <c r="I48" s="155">
        <f t="shared" si="22"/>
        <v>0</v>
      </c>
      <c r="J48" s="136"/>
      <c r="K48" s="155">
        <f t="shared" si="23"/>
        <v>0</v>
      </c>
      <c r="L48" s="136"/>
      <c r="M48" s="155">
        <f t="shared" si="24"/>
        <v>0</v>
      </c>
      <c r="O48" s="155">
        <f t="shared" si="25"/>
        <v>0</v>
      </c>
      <c r="Q48" s="155">
        <f t="shared" si="26"/>
        <v>0</v>
      </c>
      <c r="S48" s="155">
        <f t="shared" si="27"/>
        <v>0</v>
      </c>
      <c r="U48" s="155">
        <f t="shared" si="28"/>
        <v>0</v>
      </c>
      <c r="W48" s="155">
        <f t="shared" si="29"/>
        <v>0</v>
      </c>
      <c r="Y48" s="155">
        <f t="shared" si="30"/>
        <v>0</v>
      </c>
      <c r="AA48" s="155">
        <f t="shared" si="31"/>
        <v>0</v>
      </c>
      <c r="AC48" s="155">
        <f t="shared" si="32"/>
        <v>0</v>
      </c>
    </row>
  </sheetData>
  <sheetProtection algorithmName="SHA-512" hashValue="oCdd+fE8wPGVa66IRQVbJj4qO9lGNgqRof9w5R58eummILLTksa8fHRsdA1LjnNEze/rlPa+7eJ3Uny+nEY49g==" saltValue="LZRf7+JNhaV7PYLqtMP9ng==" spinCount="100000" sheet="1" objects="1" scenarios="1"/>
  <mergeCells count="16">
    <mergeCell ref="F3:AC3"/>
    <mergeCell ref="A4:A5"/>
    <mergeCell ref="B4:B5"/>
    <mergeCell ref="E4:E5"/>
    <mergeCell ref="F4:G4"/>
    <mergeCell ref="H4:I4"/>
    <mergeCell ref="J4:K4"/>
    <mergeCell ref="L4:M4"/>
    <mergeCell ref="N4:O4"/>
    <mergeCell ref="AB4:AC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  <pageSetup paperSize="9" orientation="landscape" r:id="rId1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5" tint="0.59999389629810485"/>
  </sheetPr>
  <dimension ref="A1:S47"/>
  <sheetViews>
    <sheetView topLeftCell="A13" workbookViewId="0">
      <selection activeCell="E43" sqref="E43"/>
    </sheetView>
  </sheetViews>
  <sheetFormatPr defaultRowHeight="15.5" x14ac:dyDescent="0.35"/>
  <cols>
    <col min="1" max="1" width="4.4609375" bestFit="1" customWidth="1"/>
    <col min="2" max="2" width="6.84375" bestFit="1" customWidth="1"/>
    <col min="3" max="3" width="9.07421875" customWidth="1"/>
    <col min="4" max="4" width="8.4609375" style="26" customWidth="1"/>
    <col min="5" max="5" width="12.4609375" style="26" bestFit="1" customWidth="1"/>
    <col min="6" max="6" width="12.4609375" customWidth="1"/>
    <col min="7" max="7" width="11.07421875" bestFit="1" customWidth="1"/>
    <col min="8" max="11" width="13.53515625" bestFit="1" customWidth="1"/>
    <col min="12" max="17" width="11" bestFit="1" customWidth="1"/>
    <col min="18" max="18" width="13.53515625" bestFit="1" customWidth="1"/>
    <col min="19" max="19" width="12.07421875" bestFit="1" customWidth="1"/>
  </cols>
  <sheetData>
    <row r="1" spans="1:18" ht="15" customHeight="1" x14ac:dyDescent="0.35">
      <c r="A1" s="205" t="s">
        <v>87</v>
      </c>
      <c r="B1" s="205" t="s">
        <v>83</v>
      </c>
      <c r="C1" s="205" t="s">
        <v>19</v>
      </c>
      <c r="D1" s="212" t="s">
        <v>102</v>
      </c>
      <c r="E1" s="212" t="s">
        <v>84</v>
      </c>
      <c r="F1" s="4"/>
      <c r="G1" s="211" t="s">
        <v>112</v>
      </c>
      <c r="H1" s="211" t="s">
        <v>113</v>
      </c>
      <c r="I1" s="211" t="s">
        <v>114</v>
      </c>
      <c r="J1" s="211" t="s">
        <v>115</v>
      </c>
      <c r="K1" s="211" t="s">
        <v>116</v>
      </c>
      <c r="L1" s="211" t="s">
        <v>117</v>
      </c>
      <c r="M1" s="211" t="s">
        <v>118</v>
      </c>
      <c r="N1" s="211" t="s">
        <v>119</v>
      </c>
      <c r="O1" s="211" t="s">
        <v>120</v>
      </c>
      <c r="P1" s="211" t="s">
        <v>121</v>
      </c>
      <c r="Q1" s="211" t="s">
        <v>122</v>
      </c>
    </row>
    <row r="2" spans="1:18" x14ac:dyDescent="0.35">
      <c r="A2" s="206"/>
      <c r="B2" s="206"/>
      <c r="C2" s="206"/>
      <c r="D2" s="213"/>
      <c r="E2" s="213"/>
      <c r="F2" s="5" t="s">
        <v>123</v>
      </c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</row>
    <row r="3" spans="1:18" x14ac:dyDescent="0.35">
      <c r="A3" s="131">
        <v>1</v>
      </c>
      <c r="B3" s="156">
        <f>'Charging RSL Spilt per grade'!B6</f>
        <v>0.9</v>
      </c>
      <c r="C3" s="10" t="str">
        <f>'Charging RSL Spilt per grade'!C6</f>
        <v>OV Single</v>
      </c>
      <c r="D3" s="25">
        <f>'Charging RSL Spilt per grade'!D6</f>
        <v>65.900000000000006</v>
      </c>
      <c r="E3" s="25">
        <f>D3-'Charging RSL Spilt per grade'!E6</f>
        <v>6.5899999999999963</v>
      </c>
      <c r="F3" s="13">
        <f>'Charging RSL Spilt per grade'!G6*E3</f>
        <v>0</v>
      </c>
      <c r="G3" s="13">
        <f>'Charging RSL Spilt per grade'!I6*E3</f>
        <v>0</v>
      </c>
      <c r="H3" s="13">
        <f>'Charging RSL Spilt per grade'!K6*E3</f>
        <v>0</v>
      </c>
      <c r="I3" s="13">
        <f>'Charging RSL Spilt per grade'!M6*E3</f>
        <v>0</v>
      </c>
      <c r="J3" s="13">
        <f>'Charging RSL Spilt per grade'!O6*E3</f>
        <v>0</v>
      </c>
      <c r="K3" s="13">
        <f>'Charging RSL Spilt per grade'!Q6*E3</f>
        <v>0</v>
      </c>
      <c r="L3" s="13">
        <f>'Charging RSL Spilt per grade'!S6*E3</f>
        <v>0</v>
      </c>
      <c r="M3" s="13">
        <f>'Charging RSL Spilt per grade'!U6*E3</f>
        <v>0</v>
      </c>
      <c r="N3" s="13">
        <f>'Charging RSL Spilt per grade'!W6*E3</f>
        <v>0</v>
      </c>
      <c r="O3" s="13">
        <f>'Charging RSL Spilt per grade'!Y6*E3</f>
        <v>0</v>
      </c>
      <c r="P3" s="13">
        <f>'Charging RSL Spilt per grade'!AA6*E3</f>
        <v>0</v>
      </c>
      <c r="Q3" s="13">
        <f>'Charging RSL Spilt per grade'!AC6*E3</f>
        <v>0</v>
      </c>
      <c r="R3" s="12">
        <f>SUM(F3:Q3)</f>
        <v>0</v>
      </c>
    </row>
    <row r="4" spans="1:18" x14ac:dyDescent="0.35">
      <c r="A4" s="131"/>
      <c r="B4" s="156"/>
      <c r="C4" s="10" t="str">
        <f>'Charging RSL Spilt per grade'!C7</f>
        <v>OV 1.5</v>
      </c>
      <c r="D4" s="25">
        <f>'Charging RSL Spilt per grade'!D7</f>
        <v>98.850000000000009</v>
      </c>
      <c r="E4" s="25">
        <f>D4-'Charging RSL Spilt per grade'!E7</f>
        <v>9.8850000000000051</v>
      </c>
      <c r="F4" s="13">
        <f>'Charging RSL Spilt per grade'!G7*E4</f>
        <v>0</v>
      </c>
      <c r="G4" s="13">
        <f>'Charging RSL Spilt per grade'!I7*E4</f>
        <v>0</v>
      </c>
      <c r="H4" s="13">
        <f>'Charging RSL Spilt per grade'!K7*E4</f>
        <v>0</v>
      </c>
      <c r="I4" s="13">
        <f>'Charging RSL Spilt per grade'!M7*E4</f>
        <v>0</v>
      </c>
      <c r="J4" s="13">
        <f>'Charging RSL Spilt per grade'!O7*E4</f>
        <v>0</v>
      </c>
      <c r="K4" s="13">
        <f>'Charging RSL Spilt per grade'!Q7*E4</f>
        <v>0</v>
      </c>
      <c r="L4" s="13">
        <f>'Charging RSL Spilt per grade'!S7*E4</f>
        <v>0</v>
      </c>
      <c r="M4" s="13">
        <f>'Charging RSL Spilt per grade'!U7*E4</f>
        <v>0</v>
      </c>
      <c r="N4" s="13">
        <f>'Charging RSL Spilt per grade'!W7*E4</f>
        <v>0</v>
      </c>
      <c r="O4" s="13">
        <f>'Charging RSL Spilt per grade'!Y7*E4</f>
        <v>0</v>
      </c>
      <c r="P4" s="13">
        <f>'Charging RSL Spilt per grade'!AA7*E4</f>
        <v>0</v>
      </c>
      <c r="Q4" s="13">
        <f>'Charging RSL Spilt per grade'!AC7*E4</f>
        <v>0</v>
      </c>
      <c r="R4" s="12">
        <f t="shared" ref="R4:R39" si="0">SUM(F4:Q4)</f>
        <v>0</v>
      </c>
    </row>
    <row r="5" spans="1:18" x14ac:dyDescent="0.35">
      <c r="A5" s="131"/>
      <c r="B5" s="156"/>
      <c r="C5" s="10" t="str">
        <f>'Charging RSL Spilt per grade'!C8</f>
        <v>OV Dbl</v>
      </c>
      <c r="D5" s="25">
        <f>'Charging RSL Spilt per grade'!D8</f>
        <v>131.80000000000001</v>
      </c>
      <c r="E5" s="25">
        <f>D5-'Charging RSL Spilt per grade'!E8</f>
        <v>13.179999999999993</v>
      </c>
      <c r="F5" s="13">
        <f>'Charging RSL Spilt per grade'!G8*E5</f>
        <v>0</v>
      </c>
      <c r="G5" s="13">
        <f>'Charging RSL Spilt per grade'!I8*E5</f>
        <v>0</v>
      </c>
      <c r="H5" s="13">
        <f>'Charging RSL Spilt per grade'!K8*E5</f>
        <v>0</v>
      </c>
      <c r="I5" s="13">
        <f>'Charging RSL Spilt per grade'!M8*E5</f>
        <v>0</v>
      </c>
      <c r="J5" s="13">
        <f>'Charging RSL Spilt per grade'!O8*E5</f>
        <v>0</v>
      </c>
      <c r="K5" s="13">
        <f>'Charging RSL Spilt per grade'!Q8*E5</f>
        <v>0</v>
      </c>
      <c r="L5" s="13">
        <f>'Charging RSL Spilt per grade'!S8*E5</f>
        <v>0</v>
      </c>
      <c r="M5" s="13">
        <f>'Charging RSL Spilt per grade'!U8*E5</f>
        <v>0</v>
      </c>
      <c r="N5" s="13">
        <f>'Charging RSL Spilt per grade'!W8*E5</f>
        <v>0</v>
      </c>
      <c r="O5" s="13">
        <f>'Charging RSL Spilt per grade'!Y8*E5</f>
        <v>0</v>
      </c>
      <c r="P5" s="13">
        <f>'Charging RSL Spilt per grade'!AA8*E5</f>
        <v>0</v>
      </c>
      <c r="Q5" s="13">
        <f>'Charging RSL Spilt per grade'!AC8*E5</f>
        <v>0</v>
      </c>
      <c r="R5" s="12">
        <f t="shared" si="0"/>
        <v>0</v>
      </c>
    </row>
    <row r="6" spans="1:18" x14ac:dyDescent="0.35">
      <c r="A6" s="131"/>
      <c r="B6" s="156"/>
      <c r="C6" s="10" t="str">
        <f>'Charging RSL Spilt per grade'!C9</f>
        <v>SMI Single</v>
      </c>
      <c r="D6" s="25">
        <f>'Charging RSL Spilt per grade'!D9</f>
        <v>43.2</v>
      </c>
      <c r="E6" s="25">
        <f>D6-'Charging RSL Spilt per grade'!E9</f>
        <v>4.32</v>
      </c>
      <c r="F6" s="13">
        <f>'Charging RSL Spilt per grade'!G9*E6</f>
        <v>0</v>
      </c>
      <c r="G6" s="13">
        <f>'Charging RSL Spilt per grade'!I9*E6</f>
        <v>0</v>
      </c>
      <c r="H6" s="13">
        <f>'Charging RSL Spilt per grade'!K9*E6</f>
        <v>0</v>
      </c>
      <c r="I6" s="13">
        <f>'Charging RSL Spilt per grade'!M9*E6</f>
        <v>0</v>
      </c>
      <c r="J6" s="13">
        <f>'Charging RSL Spilt per grade'!O9*E6</f>
        <v>0</v>
      </c>
      <c r="K6" s="13">
        <f>'Charging RSL Spilt per grade'!Q9*E6</f>
        <v>0</v>
      </c>
      <c r="L6" s="13">
        <f>'Charging RSL Spilt per grade'!S9*E6</f>
        <v>0</v>
      </c>
      <c r="M6" s="13">
        <f>'Charging RSL Spilt per grade'!U9*E6</f>
        <v>0</v>
      </c>
      <c r="N6" s="13">
        <f>'Charging RSL Spilt per grade'!W9*E6</f>
        <v>0</v>
      </c>
      <c r="O6" s="13">
        <f>'Charging RSL Spilt per grade'!Y9*E6</f>
        <v>0</v>
      </c>
      <c r="P6" s="13">
        <f>'Charging RSL Spilt per grade'!AA9*E6</f>
        <v>0</v>
      </c>
      <c r="Q6" s="13">
        <f>'Charging RSL Spilt per grade'!AC9*E6</f>
        <v>0</v>
      </c>
      <c r="R6" s="12">
        <f t="shared" si="0"/>
        <v>0</v>
      </c>
    </row>
    <row r="7" spans="1:18" x14ac:dyDescent="0.35">
      <c r="A7" s="131"/>
      <c r="B7" s="156"/>
      <c r="C7" s="10" t="str">
        <f>'Charging RSL Spilt per grade'!C10</f>
        <v>SMI 1.5</v>
      </c>
      <c r="D7" s="25">
        <f>'Charging RSL Spilt per grade'!D10</f>
        <v>64.800000000000011</v>
      </c>
      <c r="E7" s="25">
        <f>D7-'Charging RSL Spilt per grade'!E10</f>
        <v>6.4799999999999969</v>
      </c>
      <c r="F7" s="13">
        <f>'Charging RSL Spilt per grade'!G10*E7</f>
        <v>0</v>
      </c>
      <c r="G7" s="13">
        <f>'Charging RSL Spilt per grade'!I10*E7</f>
        <v>0</v>
      </c>
      <c r="H7" s="13">
        <f>'Charging RSL Spilt per grade'!K10*E7</f>
        <v>0</v>
      </c>
      <c r="I7" s="13">
        <f>'Charging RSL Spilt per grade'!M10*E7</f>
        <v>0</v>
      </c>
      <c r="J7" s="13">
        <f>'Charging RSL Spilt per grade'!O10*E7</f>
        <v>0</v>
      </c>
      <c r="K7" s="13">
        <f>'Charging RSL Spilt per grade'!Q10*E7</f>
        <v>0</v>
      </c>
      <c r="L7" s="13">
        <f>'Charging RSL Spilt per grade'!S10*E7</f>
        <v>0</v>
      </c>
      <c r="M7" s="13">
        <f>'Charging RSL Spilt per grade'!U10*E7</f>
        <v>0</v>
      </c>
      <c r="N7" s="13">
        <f>'Charging RSL Spilt per grade'!W10*E7</f>
        <v>0</v>
      </c>
      <c r="O7" s="13">
        <f>'Charging RSL Spilt per grade'!Y10*E7</f>
        <v>0</v>
      </c>
      <c r="P7" s="13">
        <f>'Charging RSL Spilt per grade'!AA10*E7</f>
        <v>0</v>
      </c>
      <c r="Q7" s="13">
        <f>'Charging RSL Spilt per grade'!AC10*E7</f>
        <v>0</v>
      </c>
      <c r="R7" s="12">
        <f t="shared" si="0"/>
        <v>0</v>
      </c>
    </row>
    <row r="8" spans="1:18" x14ac:dyDescent="0.35">
      <c r="A8" s="131"/>
      <c r="B8" s="156"/>
      <c r="C8" s="10" t="str">
        <f>'Charging RSL Spilt per grade'!C11</f>
        <v>SMI Dbl</v>
      </c>
      <c r="D8" s="25">
        <f>'Charging RSL Spilt per grade'!D11</f>
        <v>86.4</v>
      </c>
      <c r="E8" s="25">
        <f>D8-'Charging RSL Spilt per grade'!E11</f>
        <v>8.64</v>
      </c>
      <c r="F8" s="13">
        <f>'Charging RSL Spilt per grade'!G11*E8</f>
        <v>0</v>
      </c>
      <c r="G8" s="13">
        <f>'Charging RSL Spilt per grade'!I11*E8</f>
        <v>0</v>
      </c>
      <c r="H8" s="13">
        <f>'Charging RSL Spilt per grade'!K11*E8</f>
        <v>0</v>
      </c>
      <c r="I8" s="13">
        <f>'Charging RSL Spilt per grade'!M11*E8</f>
        <v>0</v>
      </c>
      <c r="J8" s="13">
        <f>'Charging RSL Spilt per grade'!O11*E8</f>
        <v>0</v>
      </c>
      <c r="K8" s="13">
        <f>'Charging RSL Spilt per grade'!Q11*E8</f>
        <v>0</v>
      </c>
      <c r="L8" s="13">
        <f>'Charging RSL Spilt per grade'!S11*E8</f>
        <v>0</v>
      </c>
      <c r="M8" s="13">
        <f>'Charging RSL Spilt per grade'!U11*E8</f>
        <v>0</v>
      </c>
      <c r="N8" s="13">
        <f>'Charging RSL Spilt per grade'!W11*E8</f>
        <v>0</v>
      </c>
      <c r="O8" s="13">
        <f>'Charging RSL Spilt per grade'!Y11*E8</f>
        <v>0</v>
      </c>
      <c r="P8" s="13">
        <f>'Charging RSL Spilt per grade'!AA11*E8</f>
        <v>0</v>
      </c>
      <c r="Q8" s="13">
        <f>'Charging RSL Spilt per grade'!AC11*E8</f>
        <v>0</v>
      </c>
      <c r="R8" s="12">
        <f t="shared" si="0"/>
        <v>0</v>
      </c>
    </row>
    <row r="9" spans="1:18" x14ac:dyDescent="0.35">
      <c r="A9" s="131">
        <v>2</v>
      </c>
      <c r="B9" s="156">
        <f>'Charging RSL Spilt per grade'!B12</f>
        <v>0.75</v>
      </c>
      <c r="C9" s="10" t="str">
        <f>'Charging RSL Spilt per grade'!C12</f>
        <v>OV Single</v>
      </c>
      <c r="D9" s="25">
        <f>'Charging RSL Spilt per grade'!D12</f>
        <v>65.900000000000006</v>
      </c>
      <c r="E9" s="25">
        <f>D9-'Charging RSL Spilt per grade'!E12</f>
        <v>16.475000000000001</v>
      </c>
      <c r="F9" s="13">
        <f>'Charging RSL Spilt per grade'!G12*E9</f>
        <v>0</v>
      </c>
      <c r="G9" s="13">
        <f>'Charging RSL Spilt per grade'!I12*E9</f>
        <v>0</v>
      </c>
      <c r="H9" s="13">
        <f>'Charging RSL Spilt per grade'!K12*E9</f>
        <v>0</v>
      </c>
      <c r="I9" s="13">
        <f>'Charging RSL Spilt per grade'!M12*E9</f>
        <v>0</v>
      </c>
      <c r="J9" s="13">
        <f>'Charging RSL Spilt per grade'!O12*E9</f>
        <v>0</v>
      </c>
      <c r="K9" s="13">
        <f>'Charging RSL Spilt per grade'!Q12*E9</f>
        <v>0</v>
      </c>
      <c r="L9" s="13">
        <f>'Charging RSL Spilt per grade'!S12*E9</f>
        <v>0</v>
      </c>
      <c r="M9" s="13">
        <f>'Charging RSL Spilt per grade'!U12*E9</f>
        <v>0</v>
      </c>
      <c r="N9" s="13">
        <f>'Charging RSL Spilt per grade'!W12*E9</f>
        <v>0</v>
      </c>
      <c r="O9" s="13">
        <f>'Charging RSL Spilt per grade'!Y12*E9</f>
        <v>0</v>
      </c>
      <c r="P9" s="13">
        <f>'Charging RSL Spilt per grade'!AA12*E9</f>
        <v>0</v>
      </c>
      <c r="Q9" s="13">
        <f>'Charging RSL Spilt per grade'!AC12*E9</f>
        <v>0</v>
      </c>
      <c r="R9" s="12">
        <f t="shared" si="0"/>
        <v>0</v>
      </c>
    </row>
    <row r="10" spans="1:18" x14ac:dyDescent="0.35">
      <c r="A10" s="131"/>
      <c r="B10" s="156"/>
      <c r="C10" s="10" t="str">
        <f>'Charging RSL Spilt per grade'!C13</f>
        <v>OV 1.5</v>
      </c>
      <c r="D10" s="25">
        <f>'Charging RSL Spilt per grade'!D13</f>
        <v>98.850000000000009</v>
      </c>
      <c r="E10" s="25">
        <f>D10-'Charging RSL Spilt per grade'!E13</f>
        <v>24.712500000000006</v>
      </c>
      <c r="F10" s="13">
        <f>'Charging RSL Spilt per grade'!G13*E10</f>
        <v>0</v>
      </c>
      <c r="G10" s="13">
        <f>'Charging RSL Spilt per grade'!I13*E10</f>
        <v>0</v>
      </c>
      <c r="H10" s="13">
        <f>'Charging RSL Spilt per grade'!K13*E10</f>
        <v>0</v>
      </c>
      <c r="I10" s="13">
        <f>'Charging RSL Spilt per grade'!M13*E10</f>
        <v>0</v>
      </c>
      <c r="J10" s="13">
        <f>'Charging RSL Spilt per grade'!O13*E10</f>
        <v>0</v>
      </c>
      <c r="K10" s="13">
        <f>'Charging RSL Spilt per grade'!Q13*E10</f>
        <v>0</v>
      </c>
      <c r="L10" s="13">
        <f>'Charging RSL Spilt per grade'!S13*E10</f>
        <v>0</v>
      </c>
      <c r="M10" s="13">
        <f>'Charging RSL Spilt per grade'!U13*E10</f>
        <v>0</v>
      </c>
      <c r="N10" s="13">
        <f>'Charging RSL Spilt per grade'!W13*E10</f>
        <v>0</v>
      </c>
      <c r="O10" s="13">
        <f>'Charging RSL Spilt per grade'!Y13*E10</f>
        <v>0</v>
      </c>
      <c r="P10" s="13">
        <f>'Charging RSL Spilt per grade'!AA13*E10</f>
        <v>0</v>
      </c>
      <c r="Q10" s="13">
        <f>'Charging RSL Spilt per grade'!AC13*E10</f>
        <v>0</v>
      </c>
      <c r="R10" s="12">
        <f t="shared" si="0"/>
        <v>0</v>
      </c>
    </row>
    <row r="11" spans="1:18" x14ac:dyDescent="0.35">
      <c r="A11" s="131"/>
      <c r="B11" s="156"/>
      <c r="C11" s="10" t="str">
        <f>'Charging RSL Spilt per grade'!C14</f>
        <v>OV Dbl</v>
      </c>
      <c r="D11" s="25">
        <f>'Charging RSL Spilt per grade'!D14</f>
        <v>131.80000000000001</v>
      </c>
      <c r="E11" s="25">
        <f>D11-'Charging RSL Spilt per grade'!E14</f>
        <v>32.950000000000003</v>
      </c>
      <c r="F11" s="13">
        <f>'Charging RSL Spilt per grade'!G14*E11</f>
        <v>0</v>
      </c>
      <c r="G11" s="13">
        <f>'Charging RSL Spilt per grade'!I14*E11</f>
        <v>0</v>
      </c>
      <c r="H11" s="13">
        <f>'Charging RSL Spilt per grade'!K14*E11</f>
        <v>0</v>
      </c>
      <c r="I11" s="13">
        <f>'Charging RSL Spilt per grade'!M14*E11</f>
        <v>0</v>
      </c>
      <c r="J11" s="13">
        <f>'Charging RSL Spilt per grade'!O14*E11</f>
        <v>0</v>
      </c>
      <c r="K11" s="13">
        <f>'Charging RSL Spilt per grade'!Q14*E11</f>
        <v>0</v>
      </c>
      <c r="L11" s="13">
        <f>'Charging RSL Spilt per grade'!S14*E11</f>
        <v>0</v>
      </c>
      <c r="M11" s="13">
        <f>'Charging RSL Spilt per grade'!U14*E11</f>
        <v>0</v>
      </c>
      <c r="N11" s="13">
        <f>'Charging RSL Spilt per grade'!W14*E11</f>
        <v>0</v>
      </c>
      <c r="O11" s="13">
        <f>'Charging RSL Spilt per grade'!Y14*E11</f>
        <v>0</v>
      </c>
      <c r="P11" s="13">
        <f>'Charging RSL Spilt per grade'!AA14*E11</f>
        <v>0</v>
      </c>
      <c r="Q11" s="13">
        <f>'Charging RSL Spilt per grade'!AC14*E11</f>
        <v>0</v>
      </c>
      <c r="R11" s="12">
        <f t="shared" si="0"/>
        <v>0</v>
      </c>
    </row>
    <row r="12" spans="1:18" x14ac:dyDescent="0.35">
      <c r="A12" s="131"/>
      <c r="B12" s="156"/>
      <c r="C12" s="10" t="str">
        <f>'Charging RSL Spilt per grade'!C15</f>
        <v>SMI Single</v>
      </c>
      <c r="D12" s="25">
        <f>'Charging RSL Spilt per grade'!D15</f>
        <v>43.2</v>
      </c>
      <c r="E12" s="25">
        <f>D12-'Charging RSL Spilt per grade'!E15</f>
        <v>10.799999999999997</v>
      </c>
      <c r="F12" s="13">
        <f>'Charging RSL Spilt per grade'!G15*E12</f>
        <v>0</v>
      </c>
      <c r="G12" s="13">
        <f>'Charging RSL Spilt per grade'!I15*E12</f>
        <v>0</v>
      </c>
      <c r="H12" s="13">
        <f>'Charging RSL Spilt per grade'!K15*E12</f>
        <v>0</v>
      </c>
      <c r="I12" s="13">
        <f>'Charging RSL Spilt per grade'!M15*E12</f>
        <v>0</v>
      </c>
      <c r="J12" s="13">
        <f>'Charging RSL Spilt per grade'!O15*E12</f>
        <v>0</v>
      </c>
      <c r="K12" s="13">
        <f>'Charging RSL Spilt per grade'!Q15*E12</f>
        <v>0</v>
      </c>
      <c r="L12" s="13">
        <f>'Charging RSL Spilt per grade'!S15*E12</f>
        <v>0</v>
      </c>
      <c r="M12" s="13">
        <f>'Charging RSL Spilt per grade'!U15*E12</f>
        <v>0</v>
      </c>
      <c r="N12" s="13">
        <f>'Charging RSL Spilt per grade'!W15*E12</f>
        <v>0</v>
      </c>
      <c r="O12" s="13">
        <f>'Charging RSL Spilt per grade'!Y15*E12</f>
        <v>0</v>
      </c>
      <c r="P12" s="13">
        <f>'Charging RSL Spilt per grade'!AA15*E12</f>
        <v>0</v>
      </c>
      <c r="Q12" s="13">
        <f>'Charging RSL Spilt per grade'!AC15*E12</f>
        <v>0</v>
      </c>
      <c r="R12" s="12">
        <f t="shared" si="0"/>
        <v>0</v>
      </c>
    </row>
    <row r="13" spans="1:18" x14ac:dyDescent="0.35">
      <c r="A13" s="131"/>
      <c r="B13" s="156"/>
      <c r="C13" s="10" t="str">
        <f>'Charging RSL Spilt per grade'!C16</f>
        <v>SMI 1.5</v>
      </c>
      <c r="D13" s="25">
        <f>'Charging RSL Spilt per grade'!D16</f>
        <v>64.800000000000011</v>
      </c>
      <c r="E13" s="25">
        <f>D13-'Charging RSL Spilt per grade'!E16</f>
        <v>16.200000000000003</v>
      </c>
      <c r="F13" s="13">
        <f>'Charging RSL Spilt per grade'!G16*E13</f>
        <v>0</v>
      </c>
      <c r="G13" s="13">
        <f>'Charging RSL Spilt per grade'!I16*E13</f>
        <v>0</v>
      </c>
      <c r="H13" s="13">
        <f>'Charging RSL Spilt per grade'!K16*E13</f>
        <v>0</v>
      </c>
      <c r="I13" s="13">
        <f>'Charging RSL Spilt per grade'!M16*E13</f>
        <v>0</v>
      </c>
      <c r="J13" s="13">
        <f>'Charging RSL Spilt per grade'!O16*E13</f>
        <v>0</v>
      </c>
      <c r="K13" s="13">
        <f>'Charging RSL Spilt per grade'!Q16*E13</f>
        <v>0</v>
      </c>
      <c r="L13" s="13">
        <f>'Charging RSL Spilt per grade'!S16*E13</f>
        <v>0</v>
      </c>
      <c r="M13" s="13">
        <f>'Charging RSL Spilt per grade'!U16*E13</f>
        <v>0</v>
      </c>
      <c r="N13" s="13">
        <f>'Charging RSL Spilt per grade'!W16*E13</f>
        <v>0</v>
      </c>
      <c r="O13" s="13">
        <f>'Charging RSL Spilt per grade'!Y16*E13</f>
        <v>0</v>
      </c>
      <c r="P13" s="13">
        <f>'Charging RSL Spilt per grade'!AA16*E13</f>
        <v>0</v>
      </c>
      <c r="Q13" s="13">
        <f>'Charging RSL Spilt per grade'!AC16*E13</f>
        <v>0</v>
      </c>
      <c r="R13" s="12">
        <f t="shared" si="0"/>
        <v>0</v>
      </c>
    </row>
    <row r="14" spans="1:18" x14ac:dyDescent="0.35">
      <c r="A14" s="131"/>
      <c r="B14" s="156"/>
      <c r="C14" s="10" t="str">
        <f>'Charging RSL Spilt per grade'!C17</f>
        <v>SMI Dbl</v>
      </c>
      <c r="D14" s="25">
        <f>'Charging RSL Spilt per grade'!D17</f>
        <v>86.4</v>
      </c>
      <c r="E14" s="25">
        <f>D14-'Charging RSL Spilt per grade'!E17</f>
        <v>21.599999999999994</v>
      </c>
      <c r="F14" s="13">
        <f>'Charging RSL Spilt per grade'!G17*E14</f>
        <v>0</v>
      </c>
      <c r="G14" s="13">
        <f>'Charging RSL Spilt per grade'!I17*E14</f>
        <v>0</v>
      </c>
      <c r="H14" s="13">
        <f>'Charging RSL Spilt per grade'!K17*E14</f>
        <v>0</v>
      </c>
      <c r="I14" s="13">
        <f>'Charging RSL Spilt per grade'!M17*E14</f>
        <v>0</v>
      </c>
      <c r="J14" s="13">
        <f>'Charging RSL Spilt per grade'!O17*E14</f>
        <v>0</v>
      </c>
      <c r="K14" s="13">
        <f>'Charging RSL Spilt per grade'!Q17*E14</f>
        <v>0</v>
      </c>
      <c r="L14" s="13">
        <f>'Charging RSL Spilt per grade'!S17*E14</f>
        <v>0</v>
      </c>
      <c r="M14" s="13">
        <f>'Charging RSL Spilt per grade'!U17*E14</f>
        <v>0</v>
      </c>
      <c r="N14" s="13">
        <f>'Charging RSL Spilt per grade'!W17*E14</f>
        <v>0</v>
      </c>
      <c r="O14" s="13">
        <f>'Charging RSL Spilt per grade'!Y17*E14</f>
        <v>0</v>
      </c>
      <c r="P14" s="13">
        <f>'Charging RSL Spilt per grade'!AA17*E14</f>
        <v>0</v>
      </c>
      <c r="Q14" s="13">
        <f>'Charging RSL Spilt per grade'!AC17*E14</f>
        <v>0</v>
      </c>
      <c r="R14" s="12">
        <f t="shared" si="0"/>
        <v>0</v>
      </c>
    </row>
    <row r="15" spans="1:18" x14ac:dyDescent="0.35">
      <c r="A15" s="131">
        <v>3</v>
      </c>
      <c r="B15" s="156">
        <f>'Charging RSL Spilt per grade'!B18</f>
        <v>0.17</v>
      </c>
      <c r="C15" s="10" t="str">
        <f>'Charging RSL Spilt per grade'!C18</f>
        <v>OV Single</v>
      </c>
      <c r="D15" s="25">
        <f>'Charging RSL Spilt per grade'!D18</f>
        <v>65.900000000000006</v>
      </c>
      <c r="E15" s="25">
        <f>D15-'Charging RSL Spilt per grade'!E18</f>
        <v>54.697000000000003</v>
      </c>
      <c r="F15" s="13">
        <f>'Charging RSL Spilt per grade'!G18*E15</f>
        <v>0</v>
      </c>
      <c r="G15" s="13">
        <f>'Charging RSL Spilt per grade'!I18*E15</f>
        <v>0</v>
      </c>
      <c r="H15" s="13">
        <f>'Charging RSL Spilt per grade'!K18*E15</f>
        <v>0</v>
      </c>
      <c r="I15" s="13">
        <f>'Charging RSL Spilt per grade'!M18*E15</f>
        <v>0</v>
      </c>
      <c r="J15" s="13">
        <f>'Charging RSL Spilt per grade'!O18*E15</f>
        <v>0</v>
      </c>
      <c r="K15" s="13">
        <f>'Charging RSL Spilt per grade'!Q18*E15</f>
        <v>0</v>
      </c>
      <c r="L15" s="13">
        <f>'Charging RSL Spilt per grade'!S18*E15</f>
        <v>0</v>
      </c>
      <c r="M15" s="13">
        <f>'Charging RSL Spilt per grade'!U18*E15</f>
        <v>0</v>
      </c>
      <c r="N15" s="13">
        <f>'Charging RSL Spilt per grade'!W18*E15</f>
        <v>0</v>
      </c>
      <c r="O15" s="13">
        <f>'Charging RSL Spilt per grade'!Y18*E15</f>
        <v>0</v>
      </c>
      <c r="P15" s="13">
        <f>'Charging RSL Spilt per grade'!AA18*E15</f>
        <v>0</v>
      </c>
      <c r="Q15" s="13">
        <f>'Charging RSL Spilt per grade'!AC18*E15</f>
        <v>0</v>
      </c>
      <c r="R15" s="12">
        <f t="shared" si="0"/>
        <v>0</v>
      </c>
    </row>
    <row r="16" spans="1:18" x14ac:dyDescent="0.35">
      <c r="A16" s="131"/>
      <c r="B16" s="156"/>
      <c r="C16" s="10" t="str">
        <f>'Charging RSL Spilt per grade'!C19</f>
        <v>OV 1.5</v>
      </c>
      <c r="D16" s="25">
        <f>'Charging RSL Spilt per grade'!D19</f>
        <v>98.850000000000009</v>
      </c>
      <c r="E16" s="25">
        <f>D16-'Charging RSL Spilt per grade'!E19</f>
        <v>82.045500000000004</v>
      </c>
      <c r="F16" s="13">
        <f>'Charging RSL Spilt per grade'!G19*E16</f>
        <v>0</v>
      </c>
      <c r="G16" s="13">
        <f>'Charging RSL Spilt per grade'!I19*E16</f>
        <v>0</v>
      </c>
      <c r="H16" s="13">
        <f>'Charging RSL Spilt per grade'!K19*E16</f>
        <v>0</v>
      </c>
      <c r="I16" s="13">
        <f>'Charging RSL Spilt per grade'!M19*E16</f>
        <v>0</v>
      </c>
      <c r="J16" s="13">
        <f>'Charging RSL Spilt per grade'!O19*E16</f>
        <v>0</v>
      </c>
      <c r="K16" s="13">
        <f>'Charging RSL Spilt per grade'!Q19*E16</f>
        <v>0</v>
      </c>
      <c r="L16" s="13">
        <f>'Charging RSL Spilt per grade'!S19*E16</f>
        <v>0</v>
      </c>
      <c r="M16" s="13">
        <f>'Charging RSL Spilt per grade'!U19*E16</f>
        <v>0</v>
      </c>
      <c r="N16" s="13">
        <f>'Charging RSL Spilt per grade'!W19*E16</f>
        <v>0</v>
      </c>
      <c r="O16" s="13">
        <f>'Charging RSL Spilt per grade'!Y19*E16</f>
        <v>0</v>
      </c>
      <c r="P16" s="13">
        <f>'Charging RSL Spilt per grade'!AA19*E16</f>
        <v>0</v>
      </c>
      <c r="Q16" s="13">
        <f>'Charging RSL Spilt per grade'!AC19*E16</f>
        <v>0</v>
      </c>
      <c r="R16" s="12">
        <f t="shared" si="0"/>
        <v>0</v>
      </c>
    </row>
    <row r="17" spans="1:18" x14ac:dyDescent="0.35">
      <c r="A17" s="131"/>
      <c r="B17" s="156"/>
      <c r="C17" s="10" t="str">
        <f>'Charging RSL Spilt per grade'!C20</f>
        <v>OV Dbl</v>
      </c>
      <c r="D17" s="25">
        <f>'Charging RSL Spilt per grade'!D20</f>
        <v>131.80000000000001</v>
      </c>
      <c r="E17" s="25">
        <f>D17-'Charging RSL Spilt per grade'!E20</f>
        <v>109.39400000000001</v>
      </c>
      <c r="F17" s="13">
        <f>'Charging RSL Spilt per grade'!G20*E17</f>
        <v>0</v>
      </c>
      <c r="G17" s="13">
        <f>'Charging RSL Spilt per grade'!I20*E17</f>
        <v>0</v>
      </c>
      <c r="H17" s="13">
        <f>'Charging RSL Spilt per grade'!K20*E17</f>
        <v>0</v>
      </c>
      <c r="I17" s="13">
        <f>'Charging RSL Spilt per grade'!M20*E17</f>
        <v>0</v>
      </c>
      <c r="J17" s="13">
        <f>'Charging RSL Spilt per grade'!O20*E17</f>
        <v>0</v>
      </c>
      <c r="K17" s="13">
        <f>'Charging RSL Spilt per grade'!Q20*E17</f>
        <v>0</v>
      </c>
      <c r="L17" s="13">
        <f>'Charging RSL Spilt per grade'!S20*E17</f>
        <v>0</v>
      </c>
      <c r="M17" s="13">
        <f>'Charging RSL Spilt per grade'!U20*E17</f>
        <v>0</v>
      </c>
      <c r="N17" s="13">
        <f>'Charging RSL Spilt per grade'!W20*E17</f>
        <v>0</v>
      </c>
      <c r="O17" s="13">
        <f>'Charging RSL Spilt per grade'!Y20*E17</f>
        <v>0</v>
      </c>
      <c r="P17" s="13">
        <f>'Charging RSL Spilt per grade'!AA20*E17</f>
        <v>0</v>
      </c>
      <c r="Q17" s="13">
        <f>'Charging RSL Spilt per grade'!AC20*E17</f>
        <v>0</v>
      </c>
      <c r="R17" s="12">
        <f t="shared" si="0"/>
        <v>0</v>
      </c>
    </row>
    <row r="18" spans="1:18" x14ac:dyDescent="0.35">
      <c r="A18" s="131"/>
      <c r="B18" s="156"/>
      <c r="C18" s="10" t="str">
        <f>'Charging RSL Spilt per grade'!C21</f>
        <v>SMI Single</v>
      </c>
      <c r="D18" s="25">
        <f>'Charging RSL Spilt per grade'!D21</f>
        <v>43.2</v>
      </c>
      <c r="E18" s="25">
        <f>D18-'Charging RSL Spilt per grade'!E21</f>
        <v>35.856000000000002</v>
      </c>
      <c r="F18" s="13">
        <f>'Charging RSL Spilt per grade'!G21*E18</f>
        <v>0</v>
      </c>
      <c r="G18" s="13">
        <f>'Charging RSL Spilt per grade'!I21*E18</f>
        <v>0</v>
      </c>
      <c r="H18" s="13">
        <f>'Charging RSL Spilt per grade'!K21*E18</f>
        <v>0</v>
      </c>
      <c r="I18" s="13">
        <f>'Charging RSL Spilt per grade'!M21*E18</f>
        <v>0</v>
      </c>
      <c r="J18" s="13">
        <f>'Charging RSL Spilt per grade'!O21*E18</f>
        <v>0</v>
      </c>
      <c r="K18" s="13">
        <f>'Charging RSL Spilt per grade'!Q21*E18</f>
        <v>0</v>
      </c>
      <c r="L18" s="13">
        <f>'Charging RSL Spilt per grade'!S21*E18</f>
        <v>0</v>
      </c>
      <c r="M18" s="13">
        <f>'Charging RSL Spilt per grade'!U21*E18</f>
        <v>0</v>
      </c>
      <c r="N18" s="13">
        <f>'Charging RSL Spilt per grade'!W21*E18</f>
        <v>0</v>
      </c>
      <c r="O18" s="13">
        <f>'Charging RSL Spilt per grade'!Y21*E18</f>
        <v>0</v>
      </c>
      <c r="P18" s="13">
        <f>'Charging RSL Spilt per grade'!AA21*E18</f>
        <v>0</v>
      </c>
      <c r="Q18" s="13">
        <f>'Charging RSL Spilt per grade'!AC21*E18</f>
        <v>0</v>
      </c>
      <c r="R18" s="12">
        <f t="shared" si="0"/>
        <v>0</v>
      </c>
    </row>
    <row r="19" spans="1:18" x14ac:dyDescent="0.35">
      <c r="A19" s="131"/>
      <c r="B19" s="156"/>
      <c r="C19" s="10" t="str">
        <f>'Charging RSL Spilt per grade'!C22</f>
        <v>SMI 1.5</v>
      </c>
      <c r="D19" s="25">
        <f>'Charging RSL Spilt per grade'!D22</f>
        <v>64.800000000000011</v>
      </c>
      <c r="E19" s="25">
        <f>D19-'Charging RSL Spilt per grade'!E22</f>
        <v>53.784000000000006</v>
      </c>
      <c r="F19" s="13">
        <f>'Charging RSL Spilt per grade'!G22*E19</f>
        <v>0</v>
      </c>
      <c r="G19" s="13">
        <f>'Charging RSL Spilt per grade'!I22*E19</f>
        <v>0</v>
      </c>
      <c r="H19" s="13">
        <f>'Charging RSL Spilt per grade'!K22*E19</f>
        <v>0</v>
      </c>
      <c r="I19" s="13">
        <f>'Charging RSL Spilt per grade'!M22*E19</f>
        <v>0</v>
      </c>
      <c r="J19" s="13">
        <f>'Charging RSL Spilt per grade'!O22*E19</f>
        <v>0</v>
      </c>
      <c r="K19" s="13">
        <f>'Charging RSL Spilt per grade'!Q22*E19</f>
        <v>0</v>
      </c>
      <c r="L19" s="13">
        <f>'Charging RSL Spilt per grade'!S22*E19</f>
        <v>0</v>
      </c>
      <c r="M19" s="13">
        <f>'Charging RSL Spilt per grade'!U22*E19</f>
        <v>0</v>
      </c>
      <c r="N19" s="13">
        <f>'Charging RSL Spilt per grade'!W22*E19</f>
        <v>0</v>
      </c>
      <c r="O19" s="13">
        <f>'Charging RSL Spilt per grade'!Y22*E19</f>
        <v>0</v>
      </c>
      <c r="P19" s="13">
        <f>'Charging RSL Spilt per grade'!AA22*E19</f>
        <v>0</v>
      </c>
      <c r="Q19" s="13">
        <f>'Charging RSL Spilt per grade'!AC22*E19</f>
        <v>0</v>
      </c>
      <c r="R19" s="12">
        <f t="shared" si="0"/>
        <v>0</v>
      </c>
    </row>
    <row r="20" spans="1:18" x14ac:dyDescent="0.35">
      <c r="A20" s="131"/>
      <c r="B20" s="156"/>
      <c r="C20" s="10" t="str">
        <f>'Charging RSL Spilt per grade'!C23</f>
        <v>SMI Dbl</v>
      </c>
      <c r="D20" s="25">
        <f>'Charging RSL Spilt per grade'!D23</f>
        <v>86.4</v>
      </c>
      <c r="E20" s="25">
        <f>D20-'Charging RSL Spilt per grade'!E23</f>
        <v>71.712000000000003</v>
      </c>
      <c r="F20" s="13">
        <f>'Charging RSL Spilt per grade'!G23*E20</f>
        <v>0</v>
      </c>
      <c r="G20" s="13">
        <f>'Charging RSL Spilt per grade'!I23*E20</f>
        <v>0</v>
      </c>
      <c r="H20" s="13">
        <f>'Charging RSL Spilt per grade'!K23*E20</f>
        <v>0</v>
      </c>
      <c r="I20" s="13">
        <f>'Charging RSL Spilt per grade'!M23*E20</f>
        <v>0</v>
      </c>
      <c r="J20" s="13">
        <f>'Charging RSL Spilt per grade'!O23*E20</f>
        <v>0</v>
      </c>
      <c r="K20" s="13">
        <f>'Charging RSL Spilt per grade'!Q23*E20</f>
        <v>0</v>
      </c>
      <c r="L20" s="13">
        <f>'Charging RSL Spilt per grade'!S23*E20</f>
        <v>0</v>
      </c>
      <c r="M20" s="13">
        <f>'Charging RSL Spilt per grade'!U23*E20</f>
        <v>0</v>
      </c>
      <c r="N20" s="13">
        <f>'Charging RSL Spilt per grade'!W23*E20</f>
        <v>0</v>
      </c>
      <c r="O20" s="13">
        <f>'Charging RSL Spilt per grade'!Y23*E20</f>
        <v>0</v>
      </c>
      <c r="P20" s="13">
        <f>'Charging RSL Spilt per grade'!AA23*E20</f>
        <v>0</v>
      </c>
      <c r="Q20" s="13">
        <f>'Charging RSL Spilt per grade'!AC23*E20</f>
        <v>0</v>
      </c>
      <c r="R20" s="12">
        <f t="shared" si="0"/>
        <v>0</v>
      </c>
    </row>
    <row r="21" spans="1:18" x14ac:dyDescent="0.35">
      <c r="A21" s="131">
        <v>4</v>
      </c>
      <c r="B21" s="156">
        <f>'Charging RSL Spilt per grade'!B24</f>
        <v>0.06</v>
      </c>
      <c r="C21" s="10" t="str">
        <f>'Charging RSL Spilt per grade'!C24</f>
        <v>OV Single</v>
      </c>
      <c r="D21" s="25">
        <f>'Charging RSL Spilt per grade'!D24</f>
        <v>65.900000000000006</v>
      </c>
      <c r="E21" s="25">
        <f>D21-'Charging RSL Spilt per grade'!E24</f>
        <v>61.946000000000005</v>
      </c>
      <c r="F21" s="13">
        <f>'Charging RSL Spilt per grade'!G24*E21</f>
        <v>0</v>
      </c>
      <c r="G21" s="13">
        <f>'Charging RSL Spilt per grade'!I24*E21</f>
        <v>0</v>
      </c>
      <c r="H21" s="13">
        <f>'Charging RSL Spilt per grade'!K24*E21</f>
        <v>0</v>
      </c>
      <c r="I21" s="13">
        <f>'Charging RSL Spilt per grade'!M24*E21</f>
        <v>0</v>
      </c>
      <c r="J21" s="13">
        <f>'Charging RSL Spilt per grade'!O24*E21</f>
        <v>0</v>
      </c>
      <c r="K21" s="13">
        <f>'Charging RSL Spilt per grade'!Q24*E21</f>
        <v>0</v>
      </c>
      <c r="L21" s="13">
        <f>'Charging RSL Spilt per grade'!S24*E21</f>
        <v>0</v>
      </c>
      <c r="M21" s="13">
        <f>'Charging RSL Spilt per grade'!U24*E21</f>
        <v>0</v>
      </c>
      <c r="N21" s="13">
        <f>'Charging RSL Spilt per grade'!W24*E21</f>
        <v>0</v>
      </c>
      <c r="O21" s="13">
        <f>'Charging RSL Spilt per grade'!Y24*E21</f>
        <v>0</v>
      </c>
      <c r="P21" s="13">
        <f>'Charging RSL Spilt per grade'!AA24*E21</f>
        <v>0</v>
      </c>
      <c r="Q21" s="13">
        <f>'Charging RSL Spilt per grade'!AC24*E21</f>
        <v>0</v>
      </c>
      <c r="R21" s="12">
        <f t="shared" si="0"/>
        <v>0</v>
      </c>
    </row>
    <row r="22" spans="1:18" x14ac:dyDescent="0.35">
      <c r="A22" s="131"/>
      <c r="B22" s="156"/>
      <c r="C22" s="10" t="str">
        <f>'Charging RSL Spilt per grade'!C25</f>
        <v>OV 1.5</v>
      </c>
      <c r="D22" s="25">
        <f>'Charging RSL Spilt per grade'!D25</f>
        <v>98.850000000000009</v>
      </c>
      <c r="E22" s="25">
        <f>D22-'Charging RSL Spilt per grade'!E25</f>
        <v>92.919000000000011</v>
      </c>
      <c r="F22" s="13">
        <f>'Charging RSL Spilt per grade'!G25*E22</f>
        <v>0</v>
      </c>
      <c r="G22" s="13">
        <f>'Charging RSL Spilt per grade'!I25*E22</f>
        <v>0</v>
      </c>
      <c r="H22" s="13">
        <f>'Charging RSL Spilt per grade'!K25*E22</f>
        <v>0</v>
      </c>
      <c r="I22" s="13">
        <f>'Charging RSL Spilt per grade'!M25*E22</f>
        <v>0</v>
      </c>
      <c r="J22" s="13">
        <f>'Charging RSL Spilt per grade'!O25*E22</f>
        <v>0</v>
      </c>
      <c r="K22" s="13">
        <f>'Charging RSL Spilt per grade'!Q25*E22</f>
        <v>0</v>
      </c>
      <c r="L22" s="13">
        <f>'Charging RSL Spilt per grade'!S25*E22</f>
        <v>0</v>
      </c>
      <c r="M22" s="13">
        <f>'Charging RSL Spilt per grade'!U25*E22</f>
        <v>0</v>
      </c>
      <c r="N22" s="13">
        <f>'Charging RSL Spilt per grade'!W25*E22</f>
        <v>0</v>
      </c>
      <c r="O22" s="13">
        <f>'Charging RSL Spilt per grade'!Y25*E22</f>
        <v>0</v>
      </c>
      <c r="P22" s="13">
        <f>'Charging RSL Spilt per grade'!AA25*E22</f>
        <v>0</v>
      </c>
      <c r="Q22" s="13">
        <f>'Charging RSL Spilt per grade'!AC25*E22</f>
        <v>0</v>
      </c>
      <c r="R22" s="12">
        <f t="shared" si="0"/>
        <v>0</v>
      </c>
    </row>
    <row r="23" spans="1:18" x14ac:dyDescent="0.35">
      <c r="A23" s="131"/>
      <c r="B23" s="156"/>
      <c r="C23" s="10" t="str">
        <f>'Charging RSL Spilt per grade'!C26</f>
        <v>OV Dbl</v>
      </c>
      <c r="D23" s="25">
        <f>'Charging RSL Spilt per grade'!D26</f>
        <v>131.80000000000001</v>
      </c>
      <c r="E23" s="25">
        <f>D23-'Charging RSL Spilt per grade'!E26</f>
        <v>123.89200000000001</v>
      </c>
      <c r="F23" s="13">
        <f>'Charging RSL Spilt per grade'!G26*E23</f>
        <v>0</v>
      </c>
      <c r="G23" s="13">
        <f>'Charging RSL Spilt per grade'!I26*E23</f>
        <v>0</v>
      </c>
      <c r="H23" s="13">
        <f>'Charging RSL Spilt per grade'!K26*E23</f>
        <v>0</v>
      </c>
      <c r="I23" s="13">
        <f>'Charging RSL Spilt per grade'!M26*E23</f>
        <v>0</v>
      </c>
      <c r="J23" s="13">
        <f>'Charging RSL Spilt per grade'!O26*E23</f>
        <v>0</v>
      </c>
      <c r="K23" s="13">
        <f>'Charging RSL Spilt per grade'!Q26*E23</f>
        <v>0</v>
      </c>
      <c r="L23" s="13">
        <f>'Charging RSL Spilt per grade'!S26*E23</f>
        <v>0</v>
      </c>
      <c r="M23" s="13">
        <f>'Charging RSL Spilt per grade'!U26*E23</f>
        <v>0</v>
      </c>
      <c r="N23" s="13">
        <f>'Charging RSL Spilt per grade'!W26*E23</f>
        <v>0</v>
      </c>
      <c r="O23" s="13">
        <f>'Charging RSL Spilt per grade'!Y26*E23</f>
        <v>0</v>
      </c>
      <c r="P23" s="13">
        <f>'Charging RSL Spilt per grade'!AA26*E23</f>
        <v>0</v>
      </c>
      <c r="Q23" s="13">
        <f>'Charging RSL Spilt per grade'!AC26*E23</f>
        <v>0</v>
      </c>
      <c r="R23" s="12">
        <f t="shared" si="0"/>
        <v>0</v>
      </c>
    </row>
    <row r="24" spans="1:18" x14ac:dyDescent="0.35">
      <c r="A24" s="131"/>
      <c r="B24" s="156"/>
      <c r="C24" s="10" t="str">
        <f>'Charging RSL Spilt per grade'!C27</f>
        <v>SMI Single</v>
      </c>
      <c r="D24" s="25">
        <f>'Charging RSL Spilt per grade'!D27</f>
        <v>43.2</v>
      </c>
      <c r="E24" s="25">
        <f>D24-'Charging RSL Spilt per grade'!E27</f>
        <v>40.608000000000004</v>
      </c>
      <c r="F24" s="13">
        <f>'Charging RSL Spilt per grade'!G27*E24</f>
        <v>0</v>
      </c>
      <c r="G24" s="13">
        <f>'Charging RSL Spilt per grade'!I27*E24</f>
        <v>0</v>
      </c>
      <c r="H24" s="13">
        <f>'Charging RSL Spilt per grade'!K27*E24</f>
        <v>0</v>
      </c>
      <c r="I24" s="13">
        <f>'Charging RSL Spilt per grade'!M27*E24</f>
        <v>0</v>
      </c>
      <c r="J24" s="13">
        <f>'Charging RSL Spilt per grade'!O27*E24</f>
        <v>0</v>
      </c>
      <c r="K24" s="13">
        <f>'Charging RSL Spilt per grade'!Q27*E24</f>
        <v>0</v>
      </c>
      <c r="L24" s="13">
        <f>'Charging RSL Spilt per grade'!S27*E24</f>
        <v>0</v>
      </c>
      <c r="M24" s="13">
        <f>'Charging RSL Spilt per grade'!U27*E24</f>
        <v>0</v>
      </c>
      <c r="N24" s="13">
        <f>'Charging RSL Spilt per grade'!W27*E24</f>
        <v>0</v>
      </c>
      <c r="O24" s="13">
        <f>'Charging RSL Spilt per grade'!Y27*E24</f>
        <v>0</v>
      </c>
      <c r="P24" s="13">
        <f>'Charging RSL Spilt per grade'!AA27*E24</f>
        <v>0</v>
      </c>
      <c r="Q24" s="13">
        <f>'Charging RSL Spilt per grade'!AC27*E24</f>
        <v>0</v>
      </c>
      <c r="R24" s="12">
        <f t="shared" si="0"/>
        <v>0</v>
      </c>
    </row>
    <row r="25" spans="1:18" x14ac:dyDescent="0.35">
      <c r="A25" s="131"/>
      <c r="B25" s="156"/>
      <c r="C25" s="10" t="str">
        <f>'Charging RSL Spilt per grade'!C28</f>
        <v>SMI 1.5</v>
      </c>
      <c r="D25" s="25">
        <f>'Charging RSL Spilt per grade'!D28</f>
        <v>64.800000000000011</v>
      </c>
      <c r="E25" s="25">
        <f>D25-'Charging RSL Spilt per grade'!E28</f>
        <v>60.912000000000013</v>
      </c>
      <c r="F25" s="13">
        <f>'Charging RSL Spilt per grade'!G28*E25</f>
        <v>0</v>
      </c>
      <c r="G25" s="13">
        <f>'Charging RSL Spilt per grade'!I28*E25</f>
        <v>0</v>
      </c>
      <c r="H25" s="13">
        <f>'Charging RSL Spilt per grade'!K28*E25</f>
        <v>0</v>
      </c>
      <c r="I25" s="13">
        <f>'Charging RSL Spilt per grade'!M28*E25</f>
        <v>0</v>
      </c>
      <c r="J25" s="13">
        <f>'Charging RSL Spilt per grade'!O28*E25</f>
        <v>0</v>
      </c>
      <c r="K25" s="13">
        <f>'Charging RSL Spilt per grade'!Q28*E25</f>
        <v>0</v>
      </c>
      <c r="L25" s="13">
        <f>'Charging RSL Spilt per grade'!S28*E25</f>
        <v>0</v>
      </c>
      <c r="M25" s="13">
        <f>'Charging RSL Spilt per grade'!U28*E25</f>
        <v>0</v>
      </c>
      <c r="N25" s="13">
        <f>'Charging RSL Spilt per grade'!W28*E25</f>
        <v>0</v>
      </c>
      <c r="O25" s="13">
        <f>'Charging RSL Spilt per grade'!Y28*E25</f>
        <v>0</v>
      </c>
      <c r="P25" s="13">
        <f>'Charging RSL Spilt per grade'!AA28*E25</f>
        <v>0</v>
      </c>
      <c r="Q25" s="13">
        <f>'Charging RSL Spilt per grade'!AC28*E25</f>
        <v>0</v>
      </c>
      <c r="R25" s="12">
        <f t="shared" si="0"/>
        <v>0</v>
      </c>
    </row>
    <row r="26" spans="1:18" x14ac:dyDescent="0.35">
      <c r="A26" s="131"/>
      <c r="B26" s="156"/>
      <c r="C26" s="10" t="str">
        <f>'Charging RSL Spilt per grade'!C29</f>
        <v>SMI Dbl</v>
      </c>
      <c r="D26" s="25">
        <f>'Charging RSL Spilt per grade'!D29</f>
        <v>86.4</v>
      </c>
      <c r="E26" s="25">
        <f>D26-'Charging RSL Spilt per grade'!E29</f>
        <v>81.216000000000008</v>
      </c>
      <c r="F26" s="13">
        <f>'Charging RSL Spilt per grade'!G29*E26</f>
        <v>0</v>
      </c>
      <c r="G26" s="13">
        <f>'Charging RSL Spilt per grade'!I29*E26</f>
        <v>0</v>
      </c>
      <c r="H26" s="13">
        <f>'Charging RSL Spilt per grade'!K29*E26</f>
        <v>0</v>
      </c>
      <c r="I26" s="13">
        <f>'Charging RSL Spilt per grade'!M29*E26</f>
        <v>0</v>
      </c>
      <c r="J26" s="13">
        <f>'Charging RSL Spilt per grade'!O29*E26</f>
        <v>0</v>
      </c>
      <c r="K26" s="13">
        <f>'Charging RSL Spilt per grade'!Q29*E26</f>
        <v>0</v>
      </c>
      <c r="L26" s="13">
        <f>'Charging RSL Spilt per grade'!S29*E26</f>
        <v>0</v>
      </c>
      <c r="M26" s="13">
        <f>'Charging RSL Spilt per grade'!U29*E26</f>
        <v>0</v>
      </c>
      <c r="N26" s="13">
        <f>'Charging RSL Spilt per grade'!W29*E26</f>
        <v>0</v>
      </c>
      <c r="O26" s="13">
        <f>'Charging RSL Spilt per grade'!Y29*E26</f>
        <v>0</v>
      </c>
      <c r="P26" s="13">
        <f>'Charging RSL Spilt per grade'!AA29*E26</f>
        <v>0</v>
      </c>
      <c r="Q26" s="13">
        <f>'Charging RSL Spilt per grade'!AC29*E26</f>
        <v>0</v>
      </c>
      <c r="R26" s="12">
        <f t="shared" si="0"/>
        <v>0</v>
      </c>
    </row>
    <row r="27" spans="1:18" x14ac:dyDescent="0.35">
      <c r="A27" s="131">
        <v>5</v>
      </c>
      <c r="B27" s="156">
        <f>'Charging RSL Spilt per grade'!B30</f>
        <v>0.04</v>
      </c>
      <c r="C27" s="10" t="str">
        <f>'Charging RSL Spilt per grade'!C30</f>
        <v>OV Single</v>
      </c>
      <c r="D27" s="25">
        <f>'Charging RSL Spilt per grade'!D30</f>
        <v>65.900000000000006</v>
      </c>
      <c r="E27" s="25">
        <f>D27-'Charging RSL Spilt per grade'!E30</f>
        <v>63.264000000000003</v>
      </c>
      <c r="F27" s="13">
        <f>'Charging RSL Spilt per grade'!G30*E27</f>
        <v>0</v>
      </c>
      <c r="G27" s="13">
        <f>'Charging RSL Spilt per grade'!I30*E27</f>
        <v>0</v>
      </c>
      <c r="H27" s="13">
        <f>'Charging RSL Spilt per grade'!K30*E27</f>
        <v>0</v>
      </c>
      <c r="I27" s="13">
        <f>'Charging RSL Spilt per grade'!M30*E27</f>
        <v>0</v>
      </c>
      <c r="J27" s="13">
        <f>'Charging RSL Spilt per grade'!O30*E27</f>
        <v>0</v>
      </c>
      <c r="K27" s="13">
        <f>'Charging RSL Spilt per grade'!Q30*E27</f>
        <v>0</v>
      </c>
      <c r="L27" s="13">
        <f>'Charging RSL Spilt per grade'!S30*E27</f>
        <v>0</v>
      </c>
      <c r="M27" s="13">
        <f>'Charging RSL Spilt per grade'!U30*E27</f>
        <v>0</v>
      </c>
      <c r="N27" s="13">
        <f>'Charging RSL Spilt per grade'!W30*E27</f>
        <v>0</v>
      </c>
      <c r="O27" s="13">
        <f>'Charging RSL Spilt per grade'!Y30*E27</f>
        <v>0</v>
      </c>
      <c r="P27" s="13">
        <f>'Charging RSL Spilt per grade'!AA30*E27</f>
        <v>0</v>
      </c>
      <c r="Q27" s="13">
        <f>'Charging RSL Spilt per grade'!AC30*E27</f>
        <v>0</v>
      </c>
      <c r="R27" s="12">
        <f t="shared" si="0"/>
        <v>0</v>
      </c>
    </row>
    <row r="28" spans="1:18" x14ac:dyDescent="0.35">
      <c r="A28" s="131"/>
      <c r="B28" s="156"/>
      <c r="C28" s="10" t="str">
        <f>'Charging RSL Spilt per grade'!C31</f>
        <v>OV 1.5</v>
      </c>
      <c r="D28" s="25">
        <f>'Charging RSL Spilt per grade'!D31</f>
        <v>98.850000000000009</v>
      </c>
      <c r="E28" s="25">
        <f>D28-'Charging RSL Spilt per grade'!E31</f>
        <v>94.896000000000015</v>
      </c>
      <c r="F28" s="13">
        <f>'Charging RSL Spilt per grade'!G31*E28</f>
        <v>0</v>
      </c>
      <c r="G28" s="13">
        <f>'Charging RSL Spilt per grade'!I31*E28</f>
        <v>0</v>
      </c>
      <c r="H28" s="13">
        <f>'Charging RSL Spilt per grade'!K31*E28</f>
        <v>0</v>
      </c>
      <c r="I28" s="13">
        <f>'Charging RSL Spilt per grade'!M31*E28</f>
        <v>0</v>
      </c>
      <c r="J28" s="13">
        <f>'Charging RSL Spilt per grade'!O31*E28</f>
        <v>0</v>
      </c>
      <c r="K28" s="13">
        <f>'Charging RSL Spilt per grade'!Q31*E28</f>
        <v>0</v>
      </c>
      <c r="L28" s="13">
        <f>'Charging RSL Spilt per grade'!S31*E28</f>
        <v>0</v>
      </c>
      <c r="M28" s="13">
        <f>'Charging RSL Spilt per grade'!U31*E28</f>
        <v>0</v>
      </c>
      <c r="N28" s="13">
        <f>'Charging RSL Spilt per grade'!W31*E28</f>
        <v>0</v>
      </c>
      <c r="O28" s="13">
        <f>'Charging RSL Spilt per grade'!Y31*E28</f>
        <v>0</v>
      </c>
      <c r="P28" s="13">
        <f>'Charging RSL Spilt per grade'!AA31*E28</f>
        <v>0</v>
      </c>
      <c r="Q28" s="13">
        <f>'Charging RSL Spilt per grade'!AC31*E28</f>
        <v>0</v>
      </c>
      <c r="R28" s="12">
        <f t="shared" si="0"/>
        <v>0</v>
      </c>
    </row>
    <row r="29" spans="1:18" x14ac:dyDescent="0.35">
      <c r="A29" s="131"/>
      <c r="B29" s="156"/>
      <c r="C29" s="10" t="str">
        <f>'Charging RSL Spilt per grade'!C32</f>
        <v>OV Dbl</v>
      </c>
      <c r="D29" s="25">
        <f>'Charging RSL Spilt per grade'!D32</f>
        <v>131.80000000000001</v>
      </c>
      <c r="E29" s="25">
        <f>D29-'Charging RSL Spilt per grade'!E32</f>
        <v>126.52800000000001</v>
      </c>
      <c r="F29" s="13">
        <f>'Charging RSL Spilt per grade'!G32*E29</f>
        <v>0</v>
      </c>
      <c r="G29" s="13">
        <f>'Charging RSL Spilt per grade'!I32*E29</f>
        <v>0</v>
      </c>
      <c r="H29" s="13">
        <f>'Charging RSL Spilt per grade'!K32*E29</f>
        <v>0</v>
      </c>
      <c r="I29" s="13">
        <f>'Charging RSL Spilt per grade'!M32*E29</f>
        <v>0</v>
      </c>
      <c r="J29" s="13">
        <f>'Charging RSL Spilt per grade'!O32*E29</f>
        <v>0</v>
      </c>
      <c r="K29" s="13">
        <f>'Charging RSL Spilt per grade'!Q32*E29</f>
        <v>0</v>
      </c>
      <c r="L29" s="13">
        <f>'Charging RSL Spilt per grade'!S32*E29</f>
        <v>0</v>
      </c>
      <c r="M29" s="13">
        <f>'Charging RSL Spilt per grade'!U32*E29</f>
        <v>0</v>
      </c>
      <c r="N29" s="13">
        <f>'Charging RSL Spilt per grade'!W32*E29</f>
        <v>0</v>
      </c>
      <c r="O29" s="13">
        <f>'Charging RSL Spilt per grade'!Y32*E29</f>
        <v>0</v>
      </c>
      <c r="P29" s="13">
        <f>'Charging RSL Spilt per grade'!AA32*E29</f>
        <v>0</v>
      </c>
      <c r="Q29" s="13">
        <f>'Charging RSL Spilt per grade'!AC32*E29</f>
        <v>0</v>
      </c>
      <c r="R29" s="12">
        <f t="shared" si="0"/>
        <v>0</v>
      </c>
    </row>
    <row r="30" spans="1:18" x14ac:dyDescent="0.35">
      <c r="A30" s="131"/>
      <c r="B30" s="156"/>
      <c r="C30" s="10" t="str">
        <f>'Charging RSL Spilt per grade'!C33</f>
        <v>SMI Single</v>
      </c>
      <c r="D30" s="25">
        <f>'Charging RSL Spilt per grade'!D33</f>
        <v>43.2</v>
      </c>
      <c r="E30" s="25">
        <f>D30-'Charging RSL Spilt per grade'!E33</f>
        <v>41.472000000000001</v>
      </c>
      <c r="F30" s="13">
        <f>'Charging RSL Spilt per grade'!G33*E30</f>
        <v>0</v>
      </c>
      <c r="G30" s="13">
        <f>'Charging RSL Spilt per grade'!I33*E30</f>
        <v>0</v>
      </c>
      <c r="H30" s="13">
        <f>'Charging RSL Spilt per grade'!K33*E30</f>
        <v>0</v>
      </c>
      <c r="I30" s="13">
        <f>'Charging RSL Spilt per grade'!M33*E30</f>
        <v>0</v>
      </c>
      <c r="J30" s="13">
        <f>'Charging RSL Spilt per grade'!O33*E30</f>
        <v>0</v>
      </c>
      <c r="K30" s="13">
        <f>'Charging RSL Spilt per grade'!Q33*E30</f>
        <v>0</v>
      </c>
      <c r="L30" s="13">
        <f>'Charging RSL Spilt per grade'!S33*E30</f>
        <v>0</v>
      </c>
      <c r="M30" s="13">
        <f>'Charging RSL Spilt per grade'!U33*E30</f>
        <v>0</v>
      </c>
      <c r="N30" s="13">
        <f>'Charging RSL Spilt per grade'!W33*E30</f>
        <v>0</v>
      </c>
      <c r="O30" s="13">
        <f>'Charging RSL Spilt per grade'!Y33*E30</f>
        <v>0</v>
      </c>
      <c r="P30" s="13">
        <f>'Charging RSL Spilt per grade'!AA33*E30</f>
        <v>0</v>
      </c>
      <c r="Q30" s="13">
        <f>'Charging RSL Spilt per grade'!AC33*E30</f>
        <v>0</v>
      </c>
      <c r="R30" s="12">
        <f t="shared" si="0"/>
        <v>0</v>
      </c>
    </row>
    <row r="31" spans="1:18" x14ac:dyDescent="0.35">
      <c r="A31" s="131"/>
      <c r="B31" s="156"/>
      <c r="C31" s="10" t="str">
        <f>'Charging RSL Spilt per grade'!C34</f>
        <v>SMI 1.5</v>
      </c>
      <c r="D31" s="25">
        <f>'Charging RSL Spilt per grade'!D34</f>
        <v>64.800000000000011</v>
      </c>
      <c r="E31" s="25">
        <f>D31-'Charging RSL Spilt per grade'!E34</f>
        <v>62.208000000000013</v>
      </c>
      <c r="F31" s="13">
        <f>'Charging RSL Spilt per grade'!G34*E31</f>
        <v>0</v>
      </c>
      <c r="G31" s="13">
        <f>'Charging RSL Spilt per grade'!I34*E31</f>
        <v>0</v>
      </c>
      <c r="H31" s="13">
        <f>'Charging RSL Spilt per grade'!K34*E31</f>
        <v>0</v>
      </c>
      <c r="I31" s="13">
        <f>'Charging RSL Spilt per grade'!M34*E31</f>
        <v>0</v>
      </c>
      <c r="J31" s="13">
        <f>'Charging RSL Spilt per grade'!O34*E31</f>
        <v>0</v>
      </c>
      <c r="K31" s="13">
        <f>'Charging RSL Spilt per grade'!Q34*E31</f>
        <v>0</v>
      </c>
      <c r="L31" s="13">
        <f>'Charging RSL Spilt per grade'!S34*E31</f>
        <v>0</v>
      </c>
      <c r="M31" s="13">
        <f>'Charging RSL Spilt per grade'!U34*E31</f>
        <v>0</v>
      </c>
      <c r="N31" s="13">
        <f>'Charging RSL Spilt per grade'!W34*E31</f>
        <v>0</v>
      </c>
      <c r="O31" s="13">
        <f>'Charging RSL Spilt per grade'!Y34*E31</f>
        <v>0</v>
      </c>
      <c r="P31" s="13">
        <f>'Charging RSL Spilt per grade'!AA34*E31</f>
        <v>0</v>
      </c>
      <c r="Q31" s="13">
        <f>'Charging RSL Spilt per grade'!AC34*E31</f>
        <v>0</v>
      </c>
      <c r="R31" s="12">
        <f t="shared" si="0"/>
        <v>0</v>
      </c>
    </row>
    <row r="32" spans="1:18" x14ac:dyDescent="0.35">
      <c r="A32" s="131"/>
      <c r="B32" s="156"/>
      <c r="C32" s="10" t="str">
        <f>'Charging RSL Spilt per grade'!C35</f>
        <v>SMI Dbl</v>
      </c>
      <c r="D32" s="25">
        <f>'Charging RSL Spilt per grade'!D35</f>
        <v>86.4</v>
      </c>
      <c r="E32" s="25">
        <f>D32-'Charging RSL Spilt per grade'!E35</f>
        <v>82.944000000000003</v>
      </c>
      <c r="F32" s="13">
        <f>'Charging RSL Spilt per grade'!G35*E32</f>
        <v>0</v>
      </c>
      <c r="G32" s="13">
        <f>'Charging RSL Spilt per grade'!I35*E32</f>
        <v>0</v>
      </c>
      <c r="H32" s="13">
        <f>'Charging RSL Spilt per grade'!K35*E32</f>
        <v>0</v>
      </c>
      <c r="I32" s="13">
        <f>'Charging RSL Spilt per grade'!M35*E32</f>
        <v>0</v>
      </c>
      <c r="J32" s="13">
        <f>'Charging RSL Spilt per grade'!O35*E32</f>
        <v>0</v>
      </c>
      <c r="K32" s="13">
        <f>'Charging RSL Spilt per grade'!Q35*E32</f>
        <v>0</v>
      </c>
      <c r="L32" s="13">
        <f>'Charging RSL Spilt per grade'!S35*E32</f>
        <v>0</v>
      </c>
      <c r="M32" s="13">
        <f>'Charging RSL Spilt per grade'!U35*E32</f>
        <v>0</v>
      </c>
      <c r="N32" s="13">
        <f>'Charging RSL Spilt per grade'!W35*E32</f>
        <v>0</v>
      </c>
      <c r="O32" s="13">
        <f>'Charging RSL Spilt per grade'!Y35*E32</f>
        <v>0</v>
      </c>
      <c r="P32" s="13">
        <f>'Charging RSL Spilt per grade'!AA35*E32</f>
        <v>0</v>
      </c>
      <c r="Q32" s="13">
        <f>'Charging RSL Spilt per grade'!AC35*E32</f>
        <v>0</v>
      </c>
      <c r="R32" s="12">
        <f t="shared" si="0"/>
        <v>0</v>
      </c>
    </row>
    <row r="33" spans="1:19" x14ac:dyDescent="0.35">
      <c r="A33" s="131">
        <v>6</v>
      </c>
      <c r="B33" s="156">
        <f>'Charging RSL Spilt per grade'!B36</f>
        <v>0.02</v>
      </c>
      <c r="C33" s="10" t="str">
        <f>'Charging RSL Spilt per grade'!C36</f>
        <v>OV Single</v>
      </c>
      <c r="D33" s="25">
        <f>'Charging RSL Spilt per grade'!D36</f>
        <v>65.900000000000006</v>
      </c>
      <c r="E33" s="25">
        <f>D33-'Charging RSL Spilt per grade'!E36</f>
        <v>64.582000000000008</v>
      </c>
      <c r="F33" s="13">
        <f>'Charging RSL Spilt per grade'!G36*E33</f>
        <v>0</v>
      </c>
      <c r="G33" s="13">
        <f>'Charging RSL Spilt per grade'!I36*E33</f>
        <v>0</v>
      </c>
      <c r="H33" s="13">
        <f>'Charging RSL Spilt per grade'!K36*E33</f>
        <v>0</v>
      </c>
      <c r="I33" s="13">
        <f>'Charging RSL Spilt per grade'!M36*E33</f>
        <v>0</v>
      </c>
      <c r="J33" s="13">
        <f>'Charging RSL Spilt per grade'!O36*E33</f>
        <v>0</v>
      </c>
      <c r="K33" s="13">
        <f>'Charging RSL Spilt per grade'!Q36*E33</f>
        <v>0</v>
      </c>
      <c r="L33" s="13">
        <f>'Charging RSL Spilt per grade'!S36*E33</f>
        <v>0</v>
      </c>
      <c r="M33" s="13">
        <f>'Charging RSL Spilt per grade'!U36*E33</f>
        <v>0</v>
      </c>
      <c r="N33" s="13">
        <f>'Charging RSL Spilt per grade'!W36*E33</f>
        <v>0</v>
      </c>
      <c r="O33" s="13">
        <f>'Charging RSL Spilt per grade'!Y36*E33</f>
        <v>0</v>
      </c>
      <c r="P33" s="13">
        <f>'Charging RSL Spilt per grade'!AA36*E33</f>
        <v>0</v>
      </c>
      <c r="Q33" s="13">
        <f>'Charging RSL Spilt per grade'!AC36*E33</f>
        <v>0</v>
      </c>
      <c r="R33" s="12">
        <f t="shared" si="0"/>
        <v>0</v>
      </c>
    </row>
    <row r="34" spans="1:19" x14ac:dyDescent="0.35">
      <c r="A34" s="131"/>
      <c r="B34" s="156"/>
      <c r="C34" s="10" t="str">
        <f>'Charging RSL Spilt per grade'!C37</f>
        <v>OV 1.5</v>
      </c>
      <c r="D34" s="25">
        <f>'Charging RSL Spilt per grade'!D37</f>
        <v>98.850000000000009</v>
      </c>
      <c r="E34" s="25">
        <f>D34-'Charging RSL Spilt per grade'!E37</f>
        <v>96.873000000000005</v>
      </c>
      <c r="F34" s="13">
        <f>'Charging RSL Spilt per grade'!G37*E34</f>
        <v>0</v>
      </c>
      <c r="G34" s="13">
        <f>'Charging RSL Spilt per grade'!I37*E34</f>
        <v>0</v>
      </c>
      <c r="H34" s="13">
        <f>'Charging RSL Spilt per grade'!K37*E34</f>
        <v>0</v>
      </c>
      <c r="I34" s="13">
        <f>'Charging RSL Spilt per grade'!M37*E34</f>
        <v>0</v>
      </c>
      <c r="J34" s="13">
        <f>'Charging RSL Spilt per grade'!O37*E34</f>
        <v>0</v>
      </c>
      <c r="K34" s="13">
        <f>'Charging RSL Spilt per grade'!Q37*E34</f>
        <v>0</v>
      </c>
      <c r="L34" s="13">
        <f>'Charging RSL Spilt per grade'!S37*E34</f>
        <v>0</v>
      </c>
      <c r="M34" s="13">
        <f>'Charging RSL Spilt per grade'!U37*E34</f>
        <v>0</v>
      </c>
      <c r="N34" s="13">
        <f>'Charging RSL Spilt per grade'!W37*E34</f>
        <v>0</v>
      </c>
      <c r="O34" s="13">
        <f>'Charging RSL Spilt per grade'!Y37*E34</f>
        <v>0</v>
      </c>
      <c r="P34" s="13">
        <f>'Charging RSL Spilt per grade'!AA37*E34</f>
        <v>0</v>
      </c>
      <c r="Q34" s="13">
        <f>'Charging RSL Spilt per grade'!AC37*E34</f>
        <v>0</v>
      </c>
      <c r="R34" s="12">
        <f t="shared" si="0"/>
        <v>0</v>
      </c>
    </row>
    <row r="35" spans="1:19" x14ac:dyDescent="0.35">
      <c r="A35" s="131"/>
      <c r="B35" s="156"/>
      <c r="C35" s="10" t="str">
        <f>'Charging RSL Spilt per grade'!C38</f>
        <v>OV Dbl</v>
      </c>
      <c r="D35" s="25">
        <f>'Charging RSL Spilt per grade'!D38</f>
        <v>131.80000000000001</v>
      </c>
      <c r="E35" s="25">
        <f>D35-'Charging RSL Spilt per grade'!E38</f>
        <v>129.16400000000002</v>
      </c>
      <c r="F35" s="13">
        <f>'Charging RSL Spilt per grade'!G38*E35</f>
        <v>0</v>
      </c>
      <c r="G35" s="13">
        <f>'Charging RSL Spilt per grade'!I38*E35</f>
        <v>0</v>
      </c>
      <c r="H35" s="13">
        <f>'Charging RSL Spilt per grade'!K38*E35</f>
        <v>0</v>
      </c>
      <c r="I35" s="13">
        <f>'Charging RSL Spilt per grade'!M38*E35</f>
        <v>0</v>
      </c>
      <c r="J35" s="13">
        <f>'Charging RSL Spilt per grade'!O38*E35</f>
        <v>0</v>
      </c>
      <c r="K35" s="13">
        <f>'Charging RSL Spilt per grade'!Q38*E35</f>
        <v>0</v>
      </c>
      <c r="L35" s="13">
        <f>'Charging RSL Spilt per grade'!S38*E35</f>
        <v>0</v>
      </c>
      <c r="M35" s="13">
        <f>'Charging RSL Spilt per grade'!U38*E35</f>
        <v>0</v>
      </c>
      <c r="N35" s="13">
        <f>'Charging RSL Spilt per grade'!W38*E35</f>
        <v>0</v>
      </c>
      <c r="O35" s="13">
        <f>'Charging RSL Spilt per grade'!Y38*E35</f>
        <v>0</v>
      </c>
      <c r="P35" s="13">
        <f>'Charging RSL Spilt per grade'!AA38*E35</f>
        <v>0</v>
      </c>
      <c r="Q35" s="13">
        <f>'Charging RSL Spilt per grade'!AC38*E35</f>
        <v>0</v>
      </c>
      <c r="R35" s="12">
        <f t="shared" si="0"/>
        <v>0</v>
      </c>
    </row>
    <row r="36" spans="1:19" x14ac:dyDescent="0.35">
      <c r="A36" s="131"/>
      <c r="B36" s="156"/>
      <c r="C36" s="10" t="str">
        <f>'Charging RSL Spilt per grade'!C39</f>
        <v>SMI Single</v>
      </c>
      <c r="D36" s="25">
        <f>'Charging RSL Spilt per grade'!D39</f>
        <v>43.2</v>
      </c>
      <c r="E36" s="25">
        <f>D36-'Charging RSL Spilt per grade'!E39</f>
        <v>42.336000000000006</v>
      </c>
      <c r="F36" s="13">
        <f>'Charging RSL Spilt per grade'!G39*E36</f>
        <v>0</v>
      </c>
      <c r="G36" s="13">
        <f>'Charging RSL Spilt per grade'!I39*E36</f>
        <v>0</v>
      </c>
      <c r="H36" s="13">
        <f>'Charging RSL Spilt per grade'!K39*E36</f>
        <v>0</v>
      </c>
      <c r="I36" s="13">
        <f>'Charging RSL Spilt per grade'!M39*E36</f>
        <v>0</v>
      </c>
      <c r="J36" s="13">
        <f>'Charging RSL Spilt per grade'!O39*E36</f>
        <v>0</v>
      </c>
      <c r="K36" s="13">
        <f>'Charging RSL Spilt per grade'!Q39*E36</f>
        <v>0</v>
      </c>
      <c r="L36" s="13">
        <f>'Charging RSL Spilt per grade'!S39*E36</f>
        <v>0</v>
      </c>
      <c r="M36" s="13">
        <f>'Charging RSL Spilt per grade'!U39*E36</f>
        <v>0</v>
      </c>
      <c r="N36" s="13">
        <f>'Charging RSL Spilt per grade'!W39*E36</f>
        <v>0</v>
      </c>
      <c r="O36" s="13">
        <f>'Charging RSL Spilt per grade'!Y39*E36</f>
        <v>0</v>
      </c>
      <c r="P36" s="13">
        <f>'Charging RSL Spilt per grade'!AA39*E36</f>
        <v>0</v>
      </c>
      <c r="Q36" s="13">
        <f>'Charging RSL Spilt per grade'!AC39*E36</f>
        <v>0</v>
      </c>
      <c r="R36" s="12">
        <f t="shared" si="0"/>
        <v>0</v>
      </c>
    </row>
    <row r="37" spans="1:19" x14ac:dyDescent="0.35">
      <c r="A37" s="131"/>
      <c r="B37" s="156"/>
      <c r="C37" s="10" t="str">
        <f>'Charging RSL Spilt per grade'!C40</f>
        <v>SMI 1.5</v>
      </c>
      <c r="D37" s="25">
        <f>'Charging RSL Spilt per grade'!D40</f>
        <v>64.800000000000011</v>
      </c>
      <c r="E37" s="25">
        <f>D37-'Charging RSL Spilt per grade'!E40</f>
        <v>63.504000000000012</v>
      </c>
      <c r="F37" s="13">
        <f>'Charging RSL Spilt per grade'!G40*E37</f>
        <v>0</v>
      </c>
      <c r="G37" s="13">
        <f>'Charging RSL Spilt per grade'!I40*E37</f>
        <v>0</v>
      </c>
      <c r="H37" s="13">
        <f>'Charging RSL Spilt per grade'!K40*E37</f>
        <v>0</v>
      </c>
      <c r="I37" s="13">
        <f>'Charging RSL Spilt per grade'!M40*E37</f>
        <v>0</v>
      </c>
      <c r="J37" s="13">
        <f>'Charging RSL Spilt per grade'!O40*E37</f>
        <v>0</v>
      </c>
      <c r="K37" s="13">
        <f>'Charging RSL Spilt per grade'!Q40*E37</f>
        <v>0</v>
      </c>
      <c r="L37" s="13">
        <f>'Charging RSL Spilt per grade'!S40*E37</f>
        <v>0</v>
      </c>
      <c r="M37" s="13">
        <f>'Charging RSL Spilt per grade'!U40*E37</f>
        <v>0</v>
      </c>
      <c r="N37" s="13">
        <f>'Charging RSL Spilt per grade'!W40*E37</f>
        <v>0</v>
      </c>
      <c r="O37" s="13">
        <f>'Charging RSL Spilt per grade'!Y40*E37</f>
        <v>0</v>
      </c>
      <c r="P37" s="13">
        <f>'Charging RSL Spilt per grade'!AA40*E37</f>
        <v>0</v>
      </c>
      <c r="Q37" s="13">
        <f>'Charging RSL Spilt per grade'!AC40*E37</f>
        <v>0</v>
      </c>
      <c r="R37" s="12">
        <f t="shared" si="0"/>
        <v>0</v>
      </c>
    </row>
    <row r="38" spans="1:19" x14ac:dyDescent="0.35">
      <c r="A38" s="131"/>
      <c r="B38" s="156"/>
      <c r="C38" s="10" t="str">
        <f>'Charging RSL Spilt per grade'!C41</f>
        <v>SMI Dbl</v>
      </c>
      <c r="D38" s="25">
        <f>'Charging RSL Spilt per grade'!D41</f>
        <v>86.4</v>
      </c>
      <c r="E38" s="25">
        <f>D38-'Charging RSL Spilt per grade'!E41</f>
        <v>84.672000000000011</v>
      </c>
      <c r="F38" s="13">
        <f>'Charging RSL Spilt per grade'!G41*E38</f>
        <v>0</v>
      </c>
      <c r="G38" s="13">
        <f>'Charging RSL Spilt per grade'!I41*E38</f>
        <v>0</v>
      </c>
      <c r="H38" s="13">
        <f>'Charging RSL Spilt per grade'!K41*E38</f>
        <v>0</v>
      </c>
      <c r="I38" s="13">
        <f>'Charging RSL Spilt per grade'!M41*E38</f>
        <v>0</v>
      </c>
      <c r="J38" s="13">
        <f>'Charging RSL Spilt per grade'!O41*E38</f>
        <v>0</v>
      </c>
      <c r="K38" s="13">
        <f>'Charging RSL Spilt per grade'!Q41*E38</f>
        <v>0</v>
      </c>
      <c r="L38" s="13">
        <f>'Charging RSL Spilt per grade'!S41*E38</f>
        <v>0</v>
      </c>
      <c r="M38" s="13">
        <f>'Charging RSL Spilt per grade'!U41*E38</f>
        <v>0</v>
      </c>
      <c r="N38" s="13">
        <f>'Charging RSL Spilt per grade'!W41*E38</f>
        <v>0</v>
      </c>
      <c r="O38" s="13">
        <f>'Charging RSL Spilt per grade'!Y41*E38</f>
        <v>0</v>
      </c>
      <c r="P38" s="13">
        <f>'Charging RSL Spilt per grade'!AA41*E38</f>
        <v>0</v>
      </c>
      <c r="Q38" s="13">
        <f>'Charging RSL Spilt per grade'!AC41*E38</f>
        <v>0</v>
      </c>
      <c r="R38" s="12">
        <f t="shared" si="0"/>
        <v>0</v>
      </c>
      <c r="S38" s="12"/>
    </row>
    <row r="39" spans="1:19" s="6" customFormat="1" x14ac:dyDescent="0.35">
      <c r="A39" s="23"/>
      <c r="B39" s="23"/>
      <c r="C39" s="23"/>
      <c r="D39" s="78"/>
      <c r="E39" s="27"/>
      <c r="F39" s="24">
        <f t="shared" ref="F39:Q39" si="1">SUM(F3:F38)</f>
        <v>0</v>
      </c>
      <c r="G39" s="24">
        <f t="shared" si="1"/>
        <v>0</v>
      </c>
      <c r="H39" s="24">
        <f t="shared" si="1"/>
        <v>0</v>
      </c>
      <c r="I39" s="24">
        <f t="shared" si="1"/>
        <v>0</v>
      </c>
      <c r="J39" s="24">
        <f t="shared" si="1"/>
        <v>0</v>
      </c>
      <c r="K39" s="24">
        <f t="shared" si="1"/>
        <v>0</v>
      </c>
      <c r="L39" s="24">
        <f t="shared" si="1"/>
        <v>0</v>
      </c>
      <c r="M39" s="24">
        <f t="shared" si="1"/>
        <v>0</v>
      </c>
      <c r="N39" s="24">
        <f t="shared" si="1"/>
        <v>0</v>
      </c>
      <c r="O39" s="24">
        <f t="shared" si="1"/>
        <v>0</v>
      </c>
      <c r="P39" s="24">
        <f t="shared" si="1"/>
        <v>0</v>
      </c>
      <c r="Q39" s="24">
        <f t="shared" si="1"/>
        <v>0</v>
      </c>
      <c r="R39" s="12">
        <f t="shared" si="0"/>
        <v>0</v>
      </c>
    </row>
    <row r="40" spans="1:19" x14ac:dyDescent="0.35">
      <c r="K40" s="12"/>
      <c r="L40" s="12"/>
      <c r="M40" s="12"/>
      <c r="N40" s="12"/>
      <c r="O40" s="12"/>
      <c r="P40" s="12"/>
      <c r="Q40" s="12"/>
    </row>
    <row r="41" spans="1:19" x14ac:dyDescent="0.35">
      <c r="C41" s="214"/>
      <c r="D41" s="214"/>
      <c r="E41" s="30"/>
      <c r="F41" s="12">
        <f>'Period RSL data'!D32</f>
        <v>0</v>
      </c>
      <c r="G41" s="12">
        <f>'Period RSL data'!E32</f>
        <v>0</v>
      </c>
      <c r="H41" s="12">
        <f>'Period RSL data'!F32</f>
        <v>0</v>
      </c>
      <c r="I41" s="12">
        <f>'Period RSL data'!G32</f>
        <v>0</v>
      </c>
      <c r="J41" s="12">
        <f>'Period RSL data'!H32</f>
        <v>0</v>
      </c>
      <c r="K41" s="12">
        <f>'Period RSL data'!I32</f>
        <v>0</v>
      </c>
      <c r="L41" s="12">
        <f>'Period RSL data'!J32</f>
        <v>0</v>
      </c>
      <c r="M41" s="12">
        <f>'Period RSL data'!K32</f>
        <v>0</v>
      </c>
      <c r="N41" s="12">
        <f>'Period RSL data'!L32</f>
        <v>0</v>
      </c>
      <c r="O41" s="12">
        <f>'Period RSL data'!M32</f>
        <v>0</v>
      </c>
      <c r="P41" s="12">
        <f>'Period RSL data'!N32</f>
        <v>0</v>
      </c>
      <c r="Q41" s="12">
        <f>'Period RSL data'!O32</f>
        <v>0</v>
      </c>
      <c r="R41" s="12">
        <f>SUM(F41:Q41)</f>
        <v>0</v>
      </c>
    </row>
    <row r="42" spans="1:19" ht="15.75" customHeight="1" thickBot="1" x14ac:dyDescent="0.4">
      <c r="C42" s="214"/>
      <c r="D42" s="214"/>
      <c r="E42" s="30"/>
      <c r="F42" s="79">
        <f>SUM(F39:F41)</f>
        <v>0</v>
      </c>
      <c r="G42" s="79">
        <f t="shared" ref="G42:Q42" si="2">SUM(G39:G41)</f>
        <v>0</v>
      </c>
      <c r="H42" s="79">
        <f t="shared" si="2"/>
        <v>0</v>
      </c>
      <c r="I42" s="79">
        <f t="shared" si="2"/>
        <v>0</v>
      </c>
      <c r="J42" s="79">
        <f t="shared" si="2"/>
        <v>0</v>
      </c>
      <c r="K42" s="14">
        <f t="shared" si="2"/>
        <v>0</v>
      </c>
      <c r="L42" s="14">
        <f t="shared" si="2"/>
        <v>0</v>
      </c>
      <c r="M42" s="14">
        <f>SUM(M39:M41)</f>
        <v>0</v>
      </c>
      <c r="N42" s="14">
        <f t="shared" si="2"/>
        <v>0</v>
      </c>
      <c r="O42" s="14">
        <f t="shared" si="2"/>
        <v>0</v>
      </c>
      <c r="P42" s="14">
        <f t="shared" si="2"/>
        <v>0</v>
      </c>
      <c r="Q42" s="14">
        <f t="shared" si="2"/>
        <v>0</v>
      </c>
      <c r="R42" s="12">
        <f>SUM(F42:Q42)</f>
        <v>0</v>
      </c>
      <c r="S42" s="12"/>
    </row>
    <row r="43" spans="1:19" ht="16" thickTop="1" x14ac:dyDescent="0.35">
      <c r="C43" s="214"/>
      <c r="D43" s="214"/>
      <c r="E43" s="15" t="s">
        <v>124</v>
      </c>
      <c r="F43" s="15">
        <f>('Period RSL data'!D5*'Period RSL data'!$C$5)+('Period RSL data'!D6*'Period RSL data'!$C$6)+('Period RSL data'!D7*'Period RSL data'!$C$7)+('Period RSL data'!D8*'Period RSL data'!$C$8)+('Period RSL data'!D9*'Period RSL data'!$C$9)+('Period RSL data'!D10*'Period RSL data'!$C$10)+'Period RSL data'!D30</f>
        <v>0</v>
      </c>
      <c r="G43" s="15">
        <f>('Period RSL data'!E5*'Period RSL data'!$C$5)+('Period RSL data'!E6*'Period RSL data'!$C$6)+('Period RSL data'!E7*'Period RSL data'!$C$7)+('Period RSL data'!E8*'Period RSL data'!$C$8)+('Period RSL data'!E9*'Period RSL data'!$C$9)+('Period RSL data'!E10*'Period RSL data'!$C$10)+'Period RSL data'!E30</f>
        <v>0</v>
      </c>
      <c r="H43" s="15">
        <f>('Period RSL data'!F5*'Period RSL data'!$C$5)+('Period RSL data'!F6*'Period RSL data'!$C$6)+('Period RSL data'!F7*'Period RSL data'!$C$7)+('Period RSL data'!F8*'Period RSL data'!$C$8)+('Period RSL data'!F9*'Period RSL data'!$C$9)+('Period RSL data'!F10*'Period RSL data'!$C$10)+'Period RSL data'!F30</f>
        <v>0</v>
      </c>
      <c r="I43" s="15">
        <f>('Period RSL data'!G5*'Period RSL data'!$C$5)+('Period RSL data'!G6*'Period RSL data'!$C$6)+('Period RSL data'!G7*'Period RSL data'!$C$7)+('Period RSL data'!G8*'Period RSL data'!$C$8)+('Period RSL data'!G9*'Period RSL data'!$C$9)+('Period RSL data'!G10*'Period RSL data'!$C$10)+'Period RSL data'!G30</f>
        <v>0</v>
      </c>
      <c r="J43" s="15">
        <f>('Period RSL data'!H5*'Period RSL data'!$C$5)+('Period RSL data'!H6*'Period RSL data'!$C$6)+('Period RSL data'!H7*'Period RSL data'!$C$7)+('Period RSL data'!H8*'Period RSL data'!$C$8)+('Period RSL data'!H9*'Period RSL data'!$C$9)+('Period RSL data'!H10*'Period RSL data'!$C$10)+'Period RSL data'!H30</f>
        <v>0</v>
      </c>
      <c r="K43" s="15">
        <f>('Period RSL data'!I5*'Period RSL data'!$C$5)+('Period RSL data'!I6*'Period RSL data'!$C$6)+('Period RSL data'!I7*'Period RSL data'!$C$7)+('Period RSL data'!I8*'Period RSL data'!$C$8)+('Period RSL data'!I9*'Period RSL data'!$C$9)+('Period RSL data'!I10*'Period RSL data'!$C$10)+'Period RSL data'!I30</f>
        <v>0</v>
      </c>
      <c r="L43" s="15">
        <f>('Period RSL data'!J5*'Period RSL data'!$C$5)+('Period RSL data'!J6*'Period RSL data'!$C$6)+('Period RSL data'!J7*'Period RSL data'!$C$7)+('Period RSL data'!J8*'Period RSL data'!$C$8)+('Period RSL data'!J9*'Period RSL data'!$C$9)+('Period RSL data'!J10*'Period RSL data'!$C$10)+'Period RSL data'!J30</f>
        <v>0</v>
      </c>
      <c r="M43" s="15">
        <f>('Period RSL data'!K5*'Period RSL data'!$C$5)+('Period RSL data'!K6*'Period RSL data'!$C$6)+('Period RSL data'!K7*'Period RSL data'!$C$7)+('Period RSL data'!K8*'Period RSL data'!$C$8)+('Period RSL data'!K9*'Period RSL data'!$C$9)+('Period RSL data'!K10*'Period RSL data'!$C$10)+'Period RSL data'!K30</f>
        <v>0</v>
      </c>
      <c r="N43" s="15">
        <f>('Period RSL data'!L5*'Period RSL data'!$C$5)+('Period RSL data'!L6*'Period RSL data'!$C$6)+('Period RSL data'!L7*'Period RSL data'!$C$7)+('Period RSL data'!L8*'Period RSL data'!$C$8)+('Period RSL data'!L9*'Period RSL data'!$C$9)+('Period RSL data'!L10*'Period RSL data'!$C$10)+'Period RSL data'!L30</f>
        <v>0</v>
      </c>
      <c r="O43" s="15">
        <f>('Period RSL data'!M5*'Period RSL data'!$C$5)+('Period RSL data'!M6*'Period RSL data'!$C$6)+('Period RSL data'!M7*'Period RSL data'!$C$7)+('Period RSL data'!M8*'Period RSL data'!$C$8)+('Period RSL data'!M9*'Period RSL data'!$C$9)+('Period RSL data'!M10*'Period RSL data'!$C$10)+'Period RSL data'!M30</f>
        <v>0</v>
      </c>
      <c r="P43" s="15">
        <f>('Period RSL data'!N5*'Period RSL data'!$C$5)+('Period RSL data'!N6*'Period RSL data'!$C$6)+('Period RSL data'!N7*'Period RSL data'!$C$7)+('Period RSL data'!N8*'Period RSL data'!$C$8)+('Period RSL data'!N9*'Period RSL data'!$C$9)+('Period RSL data'!N10*'Period RSL data'!$C$10)+'Period RSL data'!N30</f>
        <v>0</v>
      </c>
      <c r="Q43" s="15">
        <f>('Period RSL data'!O5*'Period RSL data'!$C$5)+('Period RSL data'!O6*'Period RSL data'!$C$6)+('Period RSL data'!O7*'Period RSL data'!$C$7)+('Period RSL data'!O8*'Period RSL data'!$C$8)+('Period RSL data'!O9*'Period RSL data'!$C$9)+('Period RSL data'!O10*'Period RSL data'!$C$10)+'Period RSL data'!O30</f>
        <v>0</v>
      </c>
      <c r="R43" s="12">
        <f>SUM(F43:Q43)</f>
        <v>0</v>
      </c>
      <c r="S43" s="35"/>
    </row>
    <row r="44" spans="1:19" x14ac:dyDescent="0.35">
      <c r="C44" s="214"/>
      <c r="D44" s="214"/>
      <c r="E44" s="26" t="s">
        <v>83</v>
      </c>
      <c r="F44" s="15">
        <f t="shared" ref="F44:Q44" si="3">F43-F42</f>
        <v>0</v>
      </c>
      <c r="G44" s="15">
        <f t="shared" si="3"/>
        <v>0</v>
      </c>
      <c r="H44" s="15">
        <f t="shared" si="3"/>
        <v>0</v>
      </c>
      <c r="I44" s="15">
        <f t="shared" si="3"/>
        <v>0</v>
      </c>
      <c r="J44" s="15">
        <f t="shared" si="3"/>
        <v>0</v>
      </c>
      <c r="K44" s="15">
        <f t="shared" si="3"/>
        <v>0</v>
      </c>
      <c r="L44" s="15">
        <f t="shared" si="3"/>
        <v>0</v>
      </c>
      <c r="M44" s="15">
        <f t="shared" si="3"/>
        <v>0</v>
      </c>
      <c r="N44" s="15">
        <f t="shared" si="3"/>
        <v>0</v>
      </c>
      <c r="O44" s="15">
        <f t="shared" si="3"/>
        <v>0</v>
      </c>
      <c r="P44" s="15">
        <f t="shared" si="3"/>
        <v>0</v>
      </c>
      <c r="Q44" s="15">
        <f t="shared" si="3"/>
        <v>0</v>
      </c>
      <c r="R44" s="12">
        <f>SUM(F44:Q44)</f>
        <v>0</v>
      </c>
    </row>
    <row r="47" spans="1:19" x14ac:dyDescent="0.35"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</sheetData>
  <sheetProtection algorithmName="SHA-512" hashValue="18QQ0Kgixvo/ii7vekFwqfLbylxPDPT1th1o6FybavJtebNk4rB8cm0fu+5OcT84ZR+i0Kl9cHzO76+jYQEbgg==" saltValue="Um/E2eif22ehCYvl4JkRHA==" spinCount="100000" sheet="1" objects="1" scenarios="1"/>
  <autoFilter ref="A2:S39" xr:uid="{00000000-0009-0000-0000-00000B000000}"/>
  <mergeCells count="20">
    <mergeCell ref="A1:A2"/>
    <mergeCell ref="B1:B2"/>
    <mergeCell ref="C1:C2"/>
    <mergeCell ref="D1:D2"/>
    <mergeCell ref="E1:E2"/>
    <mergeCell ref="O1:O2"/>
    <mergeCell ref="P1:P2"/>
    <mergeCell ref="Q1:Q2"/>
    <mergeCell ref="C41:D41"/>
    <mergeCell ref="G1:G2"/>
    <mergeCell ref="H1:H2"/>
    <mergeCell ref="I1:I2"/>
    <mergeCell ref="J1:J2"/>
    <mergeCell ref="K1:K2"/>
    <mergeCell ref="L1:L2"/>
    <mergeCell ref="C42:D42"/>
    <mergeCell ref="C43:D43"/>
    <mergeCell ref="C44:D44"/>
    <mergeCell ref="M1:M2"/>
    <mergeCell ref="N1:N2"/>
  </mergeCells>
  <pageMargins left="0.7" right="0.7" top="0.75" bottom="0.75" header="0.3" footer="0.3"/>
  <pageSetup paperSize="9" orientation="portrait" r:id="rId1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S38"/>
  <sheetViews>
    <sheetView showGridLines="0" zoomScaleNormal="100" workbookViewId="0">
      <selection activeCell="O12" sqref="O12"/>
    </sheetView>
  </sheetViews>
  <sheetFormatPr defaultRowHeight="15.5" x14ac:dyDescent="0.35"/>
  <cols>
    <col min="1" max="1" width="14" customWidth="1"/>
  </cols>
  <sheetData>
    <row r="1" spans="1:19" x14ac:dyDescent="0.35">
      <c r="A1" s="6" t="s">
        <v>141</v>
      </c>
      <c r="G1" s="6" t="s">
        <v>142</v>
      </c>
    </row>
    <row r="2" spans="1:19" s="44" customFormat="1" ht="13" x14ac:dyDescent="0.3">
      <c r="A2" s="65" t="s">
        <v>87</v>
      </c>
      <c r="B2" s="65" t="s">
        <v>135</v>
      </c>
      <c r="C2" s="65" t="s">
        <v>126</v>
      </c>
      <c r="D2" s="65" t="s">
        <v>22</v>
      </c>
      <c r="E2" s="192" t="s">
        <v>83</v>
      </c>
      <c r="G2" s="65" t="s">
        <v>87</v>
      </c>
      <c r="H2" s="65" t="s">
        <v>135</v>
      </c>
      <c r="I2" s="65" t="s">
        <v>126</v>
      </c>
      <c r="J2" s="65" t="s">
        <v>22</v>
      </c>
    </row>
    <row r="3" spans="1:19" x14ac:dyDescent="0.35">
      <c r="A3" s="189">
        <v>1</v>
      </c>
      <c r="B3" s="190">
        <v>279</v>
      </c>
      <c r="C3" s="190">
        <v>711</v>
      </c>
      <c r="D3" s="190">
        <f>B3</f>
        <v>279</v>
      </c>
      <c r="E3" s="193">
        <v>0.9</v>
      </c>
      <c r="F3" s="106"/>
      <c r="G3" s="189">
        <v>1</v>
      </c>
      <c r="H3" s="189">
        <f>B3</f>
        <v>279</v>
      </c>
      <c r="I3" s="189">
        <f t="shared" ref="I3:J3" si="0">C3</f>
        <v>711</v>
      </c>
      <c r="J3" s="189">
        <f t="shared" si="0"/>
        <v>279</v>
      </c>
    </row>
    <row r="4" spans="1:19" x14ac:dyDescent="0.35">
      <c r="A4" s="189">
        <v>2</v>
      </c>
      <c r="B4" s="190">
        <v>966</v>
      </c>
      <c r="C4" s="190">
        <v>2325</v>
      </c>
      <c r="D4" s="190">
        <f t="shared" ref="D4:D7" si="1">B4</f>
        <v>966</v>
      </c>
      <c r="E4" s="193">
        <v>0.75</v>
      </c>
      <c r="F4" s="106"/>
      <c r="G4" s="189">
        <v>2</v>
      </c>
      <c r="H4" s="189">
        <f>B4-B3</f>
        <v>687</v>
      </c>
      <c r="I4" s="189">
        <f t="shared" ref="I4:J7" si="2">C4-C3</f>
        <v>1614</v>
      </c>
      <c r="J4" s="189">
        <f t="shared" si="2"/>
        <v>687</v>
      </c>
    </row>
    <row r="5" spans="1:19" x14ac:dyDescent="0.35">
      <c r="A5" s="189">
        <v>3</v>
      </c>
      <c r="B5" s="190">
        <v>3060</v>
      </c>
      <c r="C5" s="190">
        <v>3837</v>
      </c>
      <c r="D5" s="190">
        <f t="shared" si="1"/>
        <v>3060</v>
      </c>
      <c r="E5" s="193">
        <v>0.17</v>
      </c>
      <c r="F5" s="106"/>
      <c r="G5" s="189">
        <v>3</v>
      </c>
      <c r="H5" s="189">
        <f t="shared" ref="H5:H7" si="3">B5-B4</f>
        <v>2094</v>
      </c>
      <c r="I5" s="189">
        <f t="shared" si="2"/>
        <v>1512</v>
      </c>
      <c r="J5" s="189">
        <f t="shared" si="2"/>
        <v>2094</v>
      </c>
    </row>
    <row r="6" spans="1:19" x14ac:dyDescent="0.35">
      <c r="A6" s="189">
        <v>4</v>
      </c>
      <c r="B6" s="190">
        <v>7566</v>
      </c>
      <c r="C6" s="190">
        <v>7236</v>
      </c>
      <c r="D6" s="190">
        <f t="shared" si="1"/>
        <v>7566</v>
      </c>
      <c r="E6" s="193">
        <v>0.06</v>
      </c>
      <c r="F6" s="106"/>
      <c r="G6" s="189">
        <v>4</v>
      </c>
      <c r="H6" s="189">
        <f t="shared" si="3"/>
        <v>4506</v>
      </c>
      <c r="I6" s="189">
        <f t="shared" si="2"/>
        <v>3399</v>
      </c>
      <c r="J6" s="189">
        <f t="shared" si="2"/>
        <v>4506</v>
      </c>
    </row>
    <row r="7" spans="1:19" x14ac:dyDescent="0.35">
      <c r="A7" s="189">
        <v>5</v>
      </c>
      <c r="B7" s="190">
        <v>15651</v>
      </c>
      <c r="C7" s="190">
        <v>18679</v>
      </c>
      <c r="D7" s="190">
        <f t="shared" si="1"/>
        <v>15651</v>
      </c>
      <c r="E7" s="193">
        <v>0.04</v>
      </c>
      <c r="F7" s="106"/>
      <c r="G7" s="189">
        <v>5</v>
      </c>
      <c r="H7" s="189">
        <f t="shared" si="3"/>
        <v>8085</v>
      </c>
      <c r="I7" s="189">
        <f>C7-C6</f>
        <v>11443</v>
      </c>
      <c r="J7" s="189">
        <f t="shared" si="2"/>
        <v>8085</v>
      </c>
    </row>
    <row r="8" spans="1:19" x14ac:dyDescent="0.35">
      <c r="A8" s="189">
        <v>6</v>
      </c>
      <c r="B8" s="190">
        <v>99999</v>
      </c>
      <c r="C8" s="190">
        <v>99999</v>
      </c>
      <c r="D8" s="190">
        <v>99999</v>
      </c>
      <c r="E8" s="193">
        <v>0.02</v>
      </c>
      <c r="F8" s="106"/>
      <c r="G8" s="189">
        <v>6</v>
      </c>
      <c r="H8" s="189">
        <v>99999</v>
      </c>
      <c r="I8" s="189">
        <v>99999</v>
      </c>
      <c r="J8" s="189">
        <v>9999</v>
      </c>
    </row>
    <row r="9" spans="1:19" x14ac:dyDescent="0.35">
      <c r="A9" s="106"/>
      <c r="B9" s="106"/>
      <c r="C9" s="106"/>
      <c r="D9" s="106"/>
      <c r="E9" s="106"/>
      <c r="F9" s="106"/>
      <c r="G9" s="106"/>
      <c r="H9" s="106"/>
      <c r="I9" s="106"/>
      <c r="J9" s="106"/>
    </row>
    <row r="10" spans="1:19" x14ac:dyDescent="0.35">
      <c r="A10" s="6" t="s">
        <v>143</v>
      </c>
      <c r="B10" s="106"/>
      <c r="C10" s="106"/>
      <c r="D10" s="106"/>
      <c r="E10" s="6" t="s">
        <v>144</v>
      </c>
      <c r="F10" s="6"/>
      <c r="G10" s="106"/>
      <c r="H10" s="106"/>
      <c r="I10" s="106"/>
      <c r="J10" s="106"/>
    </row>
    <row r="11" spans="1:19" x14ac:dyDescent="0.35">
      <c r="A11" s="65" t="s">
        <v>34</v>
      </c>
      <c r="B11" s="65" t="s">
        <v>83</v>
      </c>
      <c r="C11" s="65" t="s">
        <v>145</v>
      </c>
      <c r="E11" s="65" t="s">
        <v>146</v>
      </c>
      <c r="F11" s="88" t="s">
        <v>68</v>
      </c>
      <c r="G11" s="88" t="s">
        <v>69</v>
      </c>
      <c r="H11" s="88" t="s">
        <v>70</v>
      </c>
      <c r="I11" s="88" t="s">
        <v>71</v>
      </c>
      <c r="J11" s="88" t="s">
        <v>72</v>
      </c>
      <c r="K11" s="88" t="s">
        <v>73</v>
      </c>
      <c r="L11" s="88" t="s">
        <v>74</v>
      </c>
      <c r="M11" s="88" t="s">
        <v>75</v>
      </c>
      <c r="N11" s="88" t="s">
        <v>76</v>
      </c>
      <c r="O11" s="88" t="s">
        <v>77</v>
      </c>
      <c r="P11" s="88" t="s">
        <v>78</v>
      </c>
      <c r="Q11" s="88" t="s">
        <v>79</v>
      </c>
      <c r="R11" s="66"/>
      <c r="S11" s="66"/>
    </row>
    <row r="12" spans="1:19" x14ac:dyDescent="0.35">
      <c r="A12" s="67" t="s">
        <v>36</v>
      </c>
      <c r="B12" s="68">
        <v>0.5</v>
      </c>
      <c r="C12" s="69">
        <v>38.35</v>
      </c>
      <c r="E12" s="65" t="s">
        <v>147</v>
      </c>
      <c r="F12" s="190">
        <v>4</v>
      </c>
      <c r="G12" s="190">
        <v>4</v>
      </c>
      <c r="H12" s="190">
        <v>5</v>
      </c>
      <c r="I12" s="190">
        <v>4</v>
      </c>
      <c r="J12" s="190">
        <v>5</v>
      </c>
      <c r="K12" s="190">
        <v>4</v>
      </c>
      <c r="L12" s="190">
        <v>4</v>
      </c>
      <c r="M12" s="190">
        <v>5</v>
      </c>
      <c r="N12" s="190">
        <v>4</v>
      </c>
      <c r="O12" s="190">
        <v>4</v>
      </c>
      <c r="P12" s="190">
        <v>4</v>
      </c>
      <c r="Q12" s="190">
        <v>5</v>
      </c>
    </row>
    <row r="13" spans="1:19" x14ac:dyDescent="0.35">
      <c r="A13" s="67" t="s">
        <v>38</v>
      </c>
      <c r="B13" s="68">
        <v>0.5</v>
      </c>
      <c r="C13" s="69">
        <v>130.9</v>
      </c>
    </row>
    <row r="14" spans="1:19" x14ac:dyDescent="0.35">
      <c r="A14" s="67" t="s">
        <v>39</v>
      </c>
      <c r="B14" s="68">
        <v>0.5</v>
      </c>
      <c r="C14" s="69">
        <v>130.9</v>
      </c>
    </row>
    <row r="15" spans="1:19" x14ac:dyDescent="0.35">
      <c r="A15" s="67" t="s">
        <v>42</v>
      </c>
      <c r="B15" s="68">
        <v>0.5</v>
      </c>
      <c r="C15" s="69">
        <v>62.05</v>
      </c>
    </row>
    <row r="16" spans="1:19" x14ac:dyDescent="0.35">
      <c r="A16" s="67" t="s">
        <v>44</v>
      </c>
      <c r="B16" s="68">
        <v>0.5</v>
      </c>
      <c r="C16" s="69">
        <v>39.700000000000003</v>
      </c>
    </row>
    <row r="17" spans="1:8" x14ac:dyDescent="0.35">
      <c r="A17" s="67" t="s">
        <v>46</v>
      </c>
      <c r="B17" s="68">
        <v>0.5</v>
      </c>
      <c r="C17" s="69">
        <v>21.25</v>
      </c>
    </row>
    <row r="18" spans="1:8" x14ac:dyDescent="0.35">
      <c r="A18" s="67" t="s">
        <v>47</v>
      </c>
      <c r="B18" s="68">
        <v>0.5</v>
      </c>
      <c r="C18" s="69">
        <v>39.700000000000003</v>
      </c>
    </row>
    <row r="19" spans="1:8" x14ac:dyDescent="0.35">
      <c r="A19" s="67" t="s">
        <v>48</v>
      </c>
      <c r="B19" s="68">
        <v>0.5</v>
      </c>
      <c r="C19" s="69">
        <v>21.25</v>
      </c>
    </row>
    <row r="20" spans="1:8" x14ac:dyDescent="0.35">
      <c r="A20" s="67" t="s">
        <v>158</v>
      </c>
      <c r="B20" s="68">
        <v>0.5</v>
      </c>
      <c r="C20" s="69">
        <v>21.25</v>
      </c>
    </row>
    <row r="21" spans="1:8" x14ac:dyDescent="0.35">
      <c r="A21" s="67" t="s">
        <v>138</v>
      </c>
      <c r="B21" s="68">
        <v>0.5</v>
      </c>
      <c r="C21" s="191">
        <v>450</v>
      </c>
      <c r="H21" s="66"/>
    </row>
    <row r="22" spans="1:8" x14ac:dyDescent="0.35">
      <c r="A22" s="67" t="s">
        <v>140</v>
      </c>
      <c r="B22" s="68">
        <v>0.5</v>
      </c>
      <c r="C22" s="191">
        <v>175</v>
      </c>
      <c r="H22" s="66"/>
    </row>
    <row r="23" spans="1:8" x14ac:dyDescent="0.35">
      <c r="H23" s="66"/>
    </row>
    <row r="24" spans="1:8" x14ac:dyDescent="0.35">
      <c r="A24" s="6" t="s">
        <v>148</v>
      </c>
    </row>
    <row r="25" spans="1:8" x14ac:dyDescent="0.35">
      <c r="A25" s="65" t="s">
        <v>19</v>
      </c>
      <c r="B25" s="65" t="s">
        <v>149</v>
      </c>
    </row>
    <row r="26" spans="1:8" x14ac:dyDescent="0.35">
      <c r="A26" s="67" t="s">
        <v>150</v>
      </c>
      <c r="B26" s="69">
        <v>65.900000000000006</v>
      </c>
    </row>
    <row r="27" spans="1:8" x14ac:dyDescent="0.35">
      <c r="A27" s="67" t="s">
        <v>151</v>
      </c>
      <c r="B27" s="70">
        <f>B26*1.5</f>
        <v>98.850000000000009</v>
      </c>
    </row>
    <row r="28" spans="1:8" x14ac:dyDescent="0.35">
      <c r="A28" s="67" t="s">
        <v>152</v>
      </c>
      <c r="B28" s="70">
        <f>B26*2</f>
        <v>131.80000000000001</v>
      </c>
    </row>
    <row r="29" spans="1:8" x14ac:dyDescent="0.35">
      <c r="A29" s="67" t="s">
        <v>153</v>
      </c>
      <c r="B29" s="69">
        <v>43.2</v>
      </c>
    </row>
    <row r="30" spans="1:8" x14ac:dyDescent="0.35">
      <c r="A30" s="67" t="s">
        <v>154</v>
      </c>
      <c r="B30" s="70">
        <f>B29*1.5</f>
        <v>64.800000000000011</v>
      </c>
    </row>
    <row r="31" spans="1:8" x14ac:dyDescent="0.35">
      <c r="A31" s="67" t="s">
        <v>155</v>
      </c>
      <c r="B31" s="70">
        <f>B29*2</f>
        <v>86.4</v>
      </c>
    </row>
    <row r="32" spans="1:8" ht="16.149999999999999" hidden="1" customHeight="1" x14ac:dyDescent="0.35">
      <c r="A32" s="67" t="s">
        <v>156</v>
      </c>
      <c r="B32" s="71">
        <v>0</v>
      </c>
    </row>
    <row r="34" spans="1:2" x14ac:dyDescent="0.35">
      <c r="A34" s="6" t="s">
        <v>157</v>
      </c>
    </row>
    <row r="35" spans="1:2" x14ac:dyDescent="0.35">
      <c r="A35" s="65" t="s">
        <v>19</v>
      </c>
      <c r="B35" s="65" t="s">
        <v>149</v>
      </c>
    </row>
    <row r="36" spans="1:2" x14ac:dyDescent="0.35">
      <c r="A36" s="67" t="s">
        <v>150</v>
      </c>
      <c r="B36" s="69">
        <v>65.900000000000006</v>
      </c>
    </row>
    <row r="37" spans="1:2" x14ac:dyDescent="0.35">
      <c r="A37" s="67" t="s">
        <v>151</v>
      </c>
      <c r="B37" s="70">
        <f>B36*1.5</f>
        <v>98.850000000000009</v>
      </c>
    </row>
    <row r="38" spans="1:2" x14ac:dyDescent="0.35">
      <c r="A38" s="67" t="s">
        <v>152</v>
      </c>
      <c r="B38" s="70">
        <f>B36*2</f>
        <v>131.80000000000001</v>
      </c>
    </row>
  </sheetData>
  <sheetProtection algorithmName="SHA-512" hashValue="AzgQRHh8B2pPRUrTzutDIJl9yTy0Q4gOMVPAEH+6swYgNwDg5u39Gs9Y+Jl+eHGIsZDAiaViZ/njkVNg3cFY+A==" saltValue="DudMOqIfBok9DhiBH95ZRQ==" spinCount="100000" sheet="1" selectLockedCells="1" selectUnlockedCells="1"/>
  <pageMargins left="0.7" right="0.7" top="0.75" bottom="0.75" header="0.3" footer="0.3"/>
  <pageSetup paperSize="9" orientation="portrait" r:id="rId1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59999389629810485"/>
  </sheetPr>
  <dimension ref="A1:P31"/>
  <sheetViews>
    <sheetView showGridLines="0" zoomScaleNormal="100" workbookViewId="0">
      <selection activeCell="P21" sqref="P21"/>
    </sheetView>
  </sheetViews>
  <sheetFormatPr defaultRowHeight="15.5" x14ac:dyDescent="0.35"/>
  <cols>
    <col min="1" max="1" width="12.3046875" bestFit="1" customWidth="1"/>
    <col min="2" max="2" width="9.69140625" bestFit="1" customWidth="1"/>
    <col min="3" max="3" width="11.53515625" bestFit="1" customWidth="1"/>
  </cols>
  <sheetData>
    <row r="1" spans="1:16" x14ac:dyDescent="0.35">
      <c r="A1" s="6"/>
    </row>
    <row r="2" spans="1:16" x14ac:dyDescent="0.35">
      <c r="A2" s="6"/>
    </row>
    <row r="3" spans="1:16" x14ac:dyDescent="0.35">
      <c r="A3" s="3" t="s">
        <v>67</v>
      </c>
      <c r="B3" s="3"/>
      <c r="C3" s="3"/>
      <c r="D3" s="29" t="s">
        <v>68</v>
      </c>
      <c r="E3" s="29" t="s">
        <v>69</v>
      </c>
      <c r="F3" s="29" t="s">
        <v>70</v>
      </c>
      <c r="G3" s="29" t="s">
        <v>71</v>
      </c>
      <c r="H3" s="29" t="s">
        <v>72</v>
      </c>
      <c r="I3" s="29" t="s">
        <v>73</v>
      </c>
      <c r="J3" s="29" t="s">
        <v>74</v>
      </c>
      <c r="K3" s="29" t="s">
        <v>75</v>
      </c>
      <c r="L3" s="29" t="s">
        <v>76</v>
      </c>
      <c r="M3" s="29" t="s">
        <v>77</v>
      </c>
      <c r="N3" s="29" t="s">
        <v>78</v>
      </c>
      <c r="O3" s="29" t="s">
        <v>79</v>
      </c>
    </row>
    <row r="4" spans="1:16" x14ac:dyDescent="0.35">
      <c r="A4" s="7" t="s">
        <v>19</v>
      </c>
      <c r="B4" s="7" t="s">
        <v>20</v>
      </c>
      <c r="C4" s="7" t="s">
        <v>80</v>
      </c>
      <c r="D4" s="89">
        <f>'Annual data (rates, Bands, disc'!F12</f>
        <v>4</v>
      </c>
      <c r="E4" s="89">
        <f>'Annual data (rates, Bands, disc'!G12</f>
        <v>4</v>
      </c>
      <c r="F4" s="89">
        <f>'Annual data (rates, Bands, disc'!H12</f>
        <v>5</v>
      </c>
      <c r="G4" s="89">
        <f>'Annual data (rates, Bands, disc'!I12</f>
        <v>4</v>
      </c>
      <c r="H4" s="89">
        <f>'Annual data (rates, Bands, disc'!J12</f>
        <v>5</v>
      </c>
      <c r="I4" s="89">
        <f>'Annual data (rates, Bands, disc'!K12</f>
        <v>4</v>
      </c>
      <c r="J4" s="89">
        <f>'Annual data (rates, Bands, disc'!L12</f>
        <v>4</v>
      </c>
      <c r="K4" s="89">
        <f>'Annual data (rates, Bands, disc'!M12</f>
        <v>5</v>
      </c>
      <c r="L4" s="89">
        <f>'Annual data (rates, Bands, disc'!N12</f>
        <v>4</v>
      </c>
      <c r="M4" s="89">
        <f>'Annual data (rates, Bands, disc'!O12</f>
        <v>4</v>
      </c>
      <c r="N4" s="89">
        <f>'Annual data (rates, Bands, disc'!P12</f>
        <v>4</v>
      </c>
      <c r="O4" s="89">
        <f>'Annual data (rates, Bands, disc'!Q12</f>
        <v>5</v>
      </c>
    </row>
    <row r="5" spans="1:16" x14ac:dyDescent="0.35">
      <c r="A5" s="106" t="s">
        <v>23</v>
      </c>
      <c r="B5" s="106" t="s">
        <v>24</v>
      </c>
      <c r="C5" s="111">
        <f>'Annual data (rates, Bands, disc'!B26</f>
        <v>65.900000000000006</v>
      </c>
      <c r="D5" s="119">
        <f>'Game Handling Establishments'!$D21*'Period GHE data'!D4</f>
        <v>0</v>
      </c>
      <c r="E5" s="119">
        <f>'Game Handling Establishments'!$D21*'Period GHE data'!E4</f>
        <v>0</v>
      </c>
      <c r="F5" s="119">
        <f>'Game Handling Establishments'!$D21*'Period GHE data'!F4</f>
        <v>0</v>
      </c>
      <c r="G5" s="119">
        <f>'Game Handling Establishments'!$D21*'Period GHE data'!G4</f>
        <v>0</v>
      </c>
      <c r="H5" s="119">
        <f>'Game Handling Establishments'!$D21*'Period GHE data'!H4</f>
        <v>0</v>
      </c>
      <c r="I5" s="119">
        <f>'Game Handling Establishments'!$D21*'Period GHE data'!I4</f>
        <v>0</v>
      </c>
      <c r="J5" s="119">
        <f>'Game Handling Establishments'!$D21*'Period GHE data'!J4</f>
        <v>0</v>
      </c>
      <c r="K5" s="119">
        <f>'Game Handling Establishments'!$D21*'Period GHE data'!K4</f>
        <v>0</v>
      </c>
      <c r="L5" s="119">
        <f>'Game Handling Establishments'!$D21*'Period GHE data'!L4</f>
        <v>0</v>
      </c>
      <c r="M5" s="119">
        <f>'Game Handling Establishments'!$D21*'Period GHE data'!M4</f>
        <v>0</v>
      </c>
      <c r="N5" s="119">
        <f>'Game Handling Establishments'!$D21*'Period GHE data'!N4</f>
        <v>0</v>
      </c>
      <c r="O5" s="119">
        <f>'Game Handling Establishments'!$D21*'Period GHE data'!O4</f>
        <v>0</v>
      </c>
    </row>
    <row r="6" spans="1:16" x14ac:dyDescent="0.35">
      <c r="A6" s="106" t="s">
        <v>23</v>
      </c>
      <c r="B6" s="106" t="s">
        <v>25</v>
      </c>
      <c r="C6" s="111">
        <f>'Annual data (rates, Bands, disc'!B27</f>
        <v>98.850000000000009</v>
      </c>
      <c r="D6" s="120">
        <f>'Game Handling Establishments'!$D22*'Period GHE data'!D4</f>
        <v>0</v>
      </c>
      <c r="E6" s="120">
        <f>'Game Handling Establishments'!$D22*'Period GHE data'!E4</f>
        <v>0</v>
      </c>
      <c r="F6" s="120">
        <f>'Game Handling Establishments'!$D22*'Period GHE data'!F4</f>
        <v>0</v>
      </c>
      <c r="G6" s="120">
        <f>'Game Handling Establishments'!$D22*'Period GHE data'!G4</f>
        <v>0</v>
      </c>
      <c r="H6" s="120">
        <f>'Game Handling Establishments'!$D22*'Period GHE data'!H4</f>
        <v>0</v>
      </c>
      <c r="I6" s="120">
        <f>'Game Handling Establishments'!$D22*'Period GHE data'!I4</f>
        <v>0</v>
      </c>
      <c r="J6" s="120">
        <f>'Game Handling Establishments'!$D22*'Period GHE data'!J4</f>
        <v>0</v>
      </c>
      <c r="K6" s="120">
        <f>'Game Handling Establishments'!$D22*'Period GHE data'!K4</f>
        <v>0</v>
      </c>
      <c r="L6" s="120">
        <f>'Game Handling Establishments'!$D22*'Period GHE data'!L4</f>
        <v>0</v>
      </c>
      <c r="M6" s="120">
        <f>'Game Handling Establishments'!$D22*'Period GHE data'!M4</f>
        <v>0</v>
      </c>
      <c r="N6" s="120">
        <f>'Game Handling Establishments'!$D22*'Period GHE data'!N4</f>
        <v>0</v>
      </c>
      <c r="O6" s="120">
        <f>'Game Handling Establishments'!$D22*'Period GHE data'!O4</f>
        <v>0</v>
      </c>
    </row>
    <row r="7" spans="1:16" x14ac:dyDescent="0.35">
      <c r="A7" s="106" t="s">
        <v>23</v>
      </c>
      <c r="B7" s="106" t="s">
        <v>26</v>
      </c>
      <c r="C7" s="111">
        <f>'Annual data (rates, Bands, disc'!B28</f>
        <v>131.80000000000001</v>
      </c>
      <c r="D7" s="121">
        <f>'Game Handling Establishments'!$D23*'Period GHE data'!D4</f>
        <v>0</v>
      </c>
      <c r="E7" s="121">
        <f>'Game Handling Establishments'!$D23*'Period GHE data'!E4</f>
        <v>0</v>
      </c>
      <c r="F7" s="121">
        <f>'Game Handling Establishments'!$D23*'Period GHE data'!F4</f>
        <v>0</v>
      </c>
      <c r="G7" s="121">
        <f>'Game Handling Establishments'!$D23*'Period GHE data'!G4</f>
        <v>0</v>
      </c>
      <c r="H7" s="121">
        <f>'Game Handling Establishments'!$D23*'Period GHE data'!H4</f>
        <v>0</v>
      </c>
      <c r="I7" s="121">
        <f>'Game Handling Establishments'!$D23*'Period GHE data'!I4</f>
        <v>0</v>
      </c>
      <c r="J7" s="121">
        <f>'Game Handling Establishments'!$D23*'Period GHE data'!J4</f>
        <v>0</v>
      </c>
      <c r="K7" s="121">
        <f>'Game Handling Establishments'!$D23*'Period GHE data'!K4</f>
        <v>0</v>
      </c>
      <c r="L7" s="121">
        <f>'Game Handling Establishments'!$D23*'Period GHE data'!L4</f>
        <v>0</v>
      </c>
      <c r="M7" s="121">
        <f>'Game Handling Establishments'!$D23*'Period GHE data'!M4</f>
        <v>0</v>
      </c>
      <c r="N7" s="121">
        <f>'Game Handling Establishments'!$D23*'Period GHE data'!N4</f>
        <v>0</v>
      </c>
      <c r="O7" s="121">
        <f>'Game Handling Establishments'!$D23*'Period GHE data'!O4</f>
        <v>0</v>
      </c>
    </row>
    <row r="8" spans="1:16" x14ac:dyDescent="0.35">
      <c r="A8" s="106" t="s">
        <v>81</v>
      </c>
      <c r="B8" s="106" t="s">
        <v>24</v>
      </c>
      <c r="C8" s="111">
        <f>'Annual data (rates, Bands, disc'!B29</f>
        <v>43.2</v>
      </c>
      <c r="D8" s="122">
        <f>'Game Handling Establishments'!$D25*'Period GHE data'!D4</f>
        <v>0</v>
      </c>
      <c r="E8" s="122">
        <f>'Game Handling Establishments'!$D25*'Period GHE data'!E4</f>
        <v>0</v>
      </c>
      <c r="F8" s="122">
        <f>'Game Handling Establishments'!$D25*'Period GHE data'!F4</f>
        <v>0</v>
      </c>
      <c r="G8" s="122">
        <f>'Game Handling Establishments'!$D25*'Period GHE data'!G4</f>
        <v>0</v>
      </c>
      <c r="H8" s="122">
        <f>'Game Handling Establishments'!$D25*'Period GHE data'!H4</f>
        <v>0</v>
      </c>
      <c r="I8" s="122">
        <f>'Game Handling Establishments'!$D25*'Period GHE data'!I4</f>
        <v>0</v>
      </c>
      <c r="J8" s="122">
        <f>'Game Handling Establishments'!$D25*'Period GHE data'!J4</f>
        <v>0</v>
      </c>
      <c r="K8" s="122">
        <f>'Game Handling Establishments'!$D25*'Period GHE data'!K4</f>
        <v>0</v>
      </c>
      <c r="L8" s="122">
        <f>'Game Handling Establishments'!$D25*'Period GHE data'!L4</f>
        <v>0</v>
      </c>
      <c r="M8" s="122">
        <f>'Game Handling Establishments'!$D25*'Period GHE data'!M4</f>
        <v>0</v>
      </c>
      <c r="N8" s="122">
        <f>'Game Handling Establishments'!$D25*'Period GHE data'!N4</f>
        <v>0</v>
      </c>
      <c r="O8" s="122">
        <f>'Game Handling Establishments'!$D25*'Period GHE data'!O4</f>
        <v>0</v>
      </c>
    </row>
    <row r="9" spans="1:16" x14ac:dyDescent="0.35">
      <c r="A9" s="106" t="s">
        <v>81</v>
      </c>
      <c r="B9" s="106" t="s">
        <v>25</v>
      </c>
      <c r="C9" s="111">
        <f>'Annual data (rates, Bands, disc'!B30</f>
        <v>64.800000000000011</v>
      </c>
      <c r="D9" s="123">
        <f>'Game Handling Establishments'!$D26*'Period GHE data'!D4</f>
        <v>0</v>
      </c>
      <c r="E9" s="123">
        <f>'Game Handling Establishments'!$D26*'Period GHE data'!E4</f>
        <v>0</v>
      </c>
      <c r="F9" s="123">
        <f>'Game Handling Establishments'!$D26*'Period GHE data'!F4</f>
        <v>0</v>
      </c>
      <c r="G9" s="123">
        <f>'Game Handling Establishments'!$D26*'Period GHE data'!G4</f>
        <v>0</v>
      </c>
      <c r="H9" s="123">
        <f>'Game Handling Establishments'!$D26*'Period GHE data'!H4</f>
        <v>0</v>
      </c>
      <c r="I9" s="123">
        <f>'Game Handling Establishments'!$D26*'Period GHE data'!I4</f>
        <v>0</v>
      </c>
      <c r="J9" s="123">
        <f>'Game Handling Establishments'!$D26*'Period GHE data'!J4</f>
        <v>0</v>
      </c>
      <c r="K9" s="123">
        <f>'Game Handling Establishments'!$D26*'Period GHE data'!K4</f>
        <v>0</v>
      </c>
      <c r="L9" s="123">
        <f>'Game Handling Establishments'!$D26*'Period GHE data'!L4</f>
        <v>0</v>
      </c>
      <c r="M9" s="123">
        <f>'Game Handling Establishments'!$D26*'Period GHE data'!M4</f>
        <v>0</v>
      </c>
      <c r="N9" s="123">
        <f>'Game Handling Establishments'!$D26*'Period GHE data'!N4</f>
        <v>0</v>
      </c>
      <c r="O9" s="123">
        <f>'Game Handling Establishments'!$D26*'Period GHE data'!O4</f>
        <v>0</v>
      </c>
    </row>
    <row r="10" spans="1:16" x14ac:dyDescent="0.35">
      <c r="A10" s="106" t="s">
        <v>81</v>
      </c>
      <c r="B10" s="106" t="s">
        <v>26</v>
      </c>
      <c r="C10" s="111">
        <f>'Annual data (rates, Bands, disc'!B31</f>
        <v>86.4</v>
      </c>
      <c r="D10" s="124">
        <f>'Game Handling Establishments'!$D27*'Period GHE data'!D4</f>
        <v>0</v>
      </c>
      <c r="E10" s="124">
        <f>'Game Handling Establishments'!$D27*'Period GHE data'!E4</f>
        <v>0</v>
      </c>
      <c r="F10" s="124">
        <f>'Game Handling Establishments'!$D27*'Period GHE data'!F4</f>
        <v>0</v>
      </c>
      <c r="G10" s="124">
        <f>'Game Handling Establishments'!$D27*'Period GHE data'!G4</f>
        <v>0</v>
      </c>
      <c r="H10" s="124">
        <f>'Game Handling Establishments'!$D27*'Period GHE data'!H4</f>
        <v>0</v>
      </c>
      <c r="I10" s="124">
        <f>'Game Handling Establishments'!$D27*'Period GHE data'!I4</f>
        <v>0</v>
      </c>
      <c r="J10" s="124">
        <f>'Game Handling Establishments'!$D27*'Period GHE data'!J4</f>
        <v>0</v>
      </c>
      <c r="K10" s="124">
        <f>'Game Handling Establishments'!$D27*'Period GHE data'!K4</f>
        <v>0</v>
      </c>
      <c r="L10" s="124">
        <f>'Game Handling Establishments'!$D27*'Period GHE data'!L4</f>
        <v>0</v>
      </c>
      <c r="M10" s="124">
        <f>'Game Handling Establishments'!$D27*'Period GHE data'!M4</f>
        <v>0</v>
      </c>
      <c r="N10" s="124">
        <f>'Game Handling Establishments'!$D27*'Period GHE data'!N4</f>
        <v>0</v>
      </c>
      <c r="O10" s="124">
        <f>'Game Handling Establishments'!$D27*'Period GHE data'!O4</f>
        <v>0</v>
      </c>
    </row>
    <row r="11" spans="1:16" x14ac:dyDescent="0.35">
      <c r="A11" s="106"/>
      <c r="B11" s="106"/>
      <c r="C11" s="125"/>
      <c r="D11" s="126"/>
      <c r="E11" s="126"/>
      <c r="F11" s="106"/>
      <c r="G11" s="106"/>
      <c r="H11" s="106"/>
      <c r="I11" s="106"/>
      <c r="J11" s="106"/>
      <c r="K11" s="106"/>
      <c r="L11" s="106"/>
      <c r="M11" s="106"/>
      <c r="N11" s="106"/>
      <c r="O11" s="106"/>
    </row>
    <row r="12" spans="1:16" ht="16" thickBot="1" x14ac:dyDescent="0.4">
      <c r="A12" s="106"/>
      <c r="B12" s="197" t="s">
        <v>28</v>
      </c>
      <c r="C12" s="198"/>
      <c r="D12" s="127">
        <f t="shared" ref="D12:O12" si="0">SUM(D5:D7)</f>
        <v>0</v>
      </c>
      <c r="E12" s="127">
        <f t="shared" si="0"/>
        <v>0</v>
      </c>
      <c r="F12" s="116">
        <f t="shared" si="0"/>
        <v>0</v>
      </c>
      <c r="G12" s="116">
        <f t="shared" si="0"/>
        <v>0</v>
      </c>
      <c r="H12" s="116">
        <f t="shared" si="0"/>
        <v>0</v>
      </c>
      <c r="I12" s="116">
        <f t="shared" si="0"/>
        <v>0</v>
      </c>
      <c r="J12" s="116">
        <f t="shared" si="0"/>
        <v>0</v>
      </c>
      <c r="K12" s="116">
        <f t="shared" si="0"/>
        <v>0</v>
      </c>
      <c r="L12" s="116">
        <f t="shared" si="0"/>
        <v>0</v>
      </c>
      <c r="M12" s="116">
        <f t="shared" si="0"/>
        <v>0</v>
      </c>
      <c r="N12" s="116">
        <f t="shared" si="0"/>
        <v>0</v>
      </c>
      <c r="O12" s="128">
        <f t="shared" si="0"/>
        <v>0</v>
      </c>
      <c r="P12" s="106">
        <f>SUM(D12:O12)</f>
        <v>0</v>
      </c>
    </row>
    <row r="13" spans="1:16" ht="16.5" thickTop="1" thickBot="1" x14ac:dyDescent="0.4">
      <c r="A13" s="106"/>
      <c r="B13" s="197" t="s">
        <v>30</v>
      </c>
      <c r="C13" s="198"/>
      <c r="D13" s="127">
        <f t="shared" ref="D13:O13" si="1">SUM(D8:D10)</f>
        <v>0</v>
      </c>
      <c r="E13" s="127">
        <f t="shared" si="1"/>
        <v>0</v>
      </c>
      <c r="F13" s="127">
        <f t="shared" si="1"/>
        <v>0</v>
      </c>
      <c r="G13" s="127">
        <f t="shared" si="1"/>
        <v>0</v>
      </c>
      <c r="H13" s="127">
        <f t="shared" si="1"/>
        <v>0</v>
      </c>
      <c r="I13" s="127">
        <f t="shared" si="1"/>
        <v>0</v>
      </c>
      <c r="J13" s="127">
        <f t="shared" si="1"/>
        <v>0</v>
      </c>
      <c r="K13" s="127">
        <f t="shared" si="1"/>
        <v>0</v>
      </c>
      <c r="L13" s="127">
        <f t="shared" si="1"/>
        <v>0</v>
      </c>
      <c r="M13" s="127">
        <f t="shared" si="1"/>
        <v>0</v>
      </c>
      <c r="N13" s="127">
        <f t="shared" si="1"/>
        <v>0</v>
      </c>
      <c r="O13" s="127">
        <f t="shared" si="1"/>
        <v>0</v>
      </c>
      <c r="P13" s="106">
        <f t="shared" ref="P13:P14" si="2">SUM(D13:O13)</f>
        <v>0</v>
      </c>
    </row>
    <row r="14" spans="1:16" ht="16.5" thickTop="1" thickBot="1" x14ac:dyDescent="0.4">
      <c r="B14" s="197" t="s">
        <v>31</v>
      </c>
      <c r="C14" s="198"/>
      <c r="D14" s="129">
        <f t="shared" ref="D14:O14" si="3">D12+D13</f>
        <v>0</v>
      </c>
      <c r="E14" s="129">
        <f t="shared" si="3"/>
        <v>0</v>
      </c>
      <c r="F14" s="129">
        <f t="shared" si="3"/>
        <v>0</v>
      </c>
      <c r="G14" s="129">
        <f t="shared" si="3"/>
        <v>0</v>
      </c>
      <c r="H14" s="129">
        <f t="shared" si="3"/>
        <v>0</v>
      </c>
      <c r="I14" s="129">
        <f t="shared" si="3"/>
        <v>0</v>
      </c>
      <c r="J14" s="129">
        <f t="shared" si="3"/>
        <v>0</v>
      </c>
      <c r="K14" s="129">
        <f t="shared" si="3"/>
        <v>0</v>
      </c>
      <c r="L14" s="129">
        <f t="shared" si="3"/>
        <v>0</v>
      </c>
      <c r="M14" s="129">
        <f t="shared" si="3"/>
        <v>0</v>
      </c>
      <c r="N14" s="129">
        <f t="shared" si="3"/>
        <v>0</v>
      </c>
      <c r="O14" s="129">
        <f t="shared" si="3"/>
        <v>0</v>
      </c>
      <c r="P14" s="106">
        <f t="shared" si="2"/>
        <v>0</v>
      </c>
    </row>
    <row r="15" spans="1:16" ht="16" thickTop="1" x14ac:dyDescent="0.35"/>
    <row r="17" spans="1:15" x14ac:dyDescent="0.35">
      <c r="A17" s="6"/>
    </row>
    <row r="18" spans="1:15" x14ac:dyDescent="0.35">
      <c r="C18" t="s">
        <v>34</v>
      </c>
      <c r="D18" t="s">
        <v>68</v>
      </c>
      <c r="E18" t="s">
        <v>69</v>
      </c>
      <c r="F18" t="s">
        <v>70</v>
      </c>
      <c r="G18" t="s">
        <v>71</v>
      </c>
      <c r="H18" t="s">
        <v>72</v>
      </c>
      <c r="I18" t="s">
        <v>73</v>
      </c>
      <c r="J18" t="s">
        <v>74</v>
      </c>
      <c r="K18" t="s">
        <v>75</v>
      </c>
      <c r="L18" t="s">
        <v>76</v>
      </c>
      <c r="M18" t="s">
        <v>77</v>
      </c>
      <c r="N18" t="s">
        <v>78</v>
      </c>
      <c r="O18" t="s">
        <v>79</v>
      </c>
    </row>
    <row r="19" spans="1:15" x14ac:dyDescent="0.35">
      <c r="B19" s="106" t="s">
        <v>36</v>
      </c>
      <c r="C19" s="111">
        <f>'Annual data (rates, Bands, disc'!C12</f>
        <v>38.35</v>
      </c>
      <c r="D19" s="32">
        <f>'Game Handling Establishments'!$D33*'Period GHE data'!D$4</f>
        <v>0</v>
      </c>
      <c r="E19" s="32">
        <f>'Game Handling Establishments'!$D33*'Period GHE data'!E$4</f>
        <v>0</v>
      </c>
      <c r="F19" s="32">
        <f>'Game Handling Establishments'!$D33*'Period GHE data'!F$4</f>
        <v>0</v>
      </c>
      <c r="G19" s="32">
        <f>'Game Handling Establishments'!$D33*'Period GHE data'!G$4</f>
        <v>0</v>
      </c>
      <c r="H19" s="32">
        <f>'Game Handling Establishments'!$D33*'Period GHE data'!H$4</f>
        <v>0</v>
      </c>
      <c r="I19" s="32">
        <f>'Game Handling Establishments'!$D33*'Period GHE data'!I$4</f>
        <v>0</v>
      </c>
      <c r="J19" s="32">
        <f>'Game Handling Establishments'!$D33*'Period GHE data'!J$4</f>
        <v>0</v>
      </c>
      <c r="K19" s="32">
        <f>'Game Handling Establishments'!$D33*'Period GHE data'!K$4</f>
        <v>0</v>
      </c>
      <c r="L19" s="32">
        <f>'Game Handling Establishments'!$D33*'Period GHE data'!L$4</f>
        <v>0</v>
      </c>
      <c r="M19" s="32">
        <f>'Game Handling Establishments'!$D33*'Period GHE data'!M$4</f>
        <v>0</v>
      </c>
      <c r="N19" s="32">
        <f>'Game Handling Establishments'!$D33*'Period GHE data'!N$4</f>
        <v>0</v>
      </c>
      <c r="O19" s="32">
        <f>'Game Handling Establishments'!$D33*'Period GHE data'!O$4</f>
        <v>0</v>
      </c>
    </row>
    <row r="20" spans="1:15" x14ac:dyDescent="0.35">
      <c r="B20" s="106" t="s">
        <v>38</v>
      </c>
      <c r="C20" s="111">
        <f>'Annual data (rates, Bands, disc'!C13</f>
        <v>130.9</v>
      </c>
      <c r="D20" s="32">
        <f>'Game Handling Establishments'!$D34*'Period GHE data'!D$4</f>
        <v>0</v>
      </c>
      <c r="E20" s="32">
        <f>'Game Handling Establishments'!$D34*'Period GHE data'!E$4</f>
        <v>0</v>
      </c>
      <c r="F20" s="32">
        <f>'Game Handling Establishments'!$D34*'Period GHE data'!F$4</f>
        <v>0</v>
      </c>
      <c r="G20" s="32">
        <f>'Game Handling Establishments'!$D34*'Period GHE data'!G$4</f>
        <v>0</v>
      </c>
      <c r="H20" s="32">
        <f>'Game Handling Establishments'!$D34*'Period GHE data'!H$4</f>
        <v>0</v>
      </c>
      <c r="I20" s="32">
        <f>'Game Handling Establishments'!$D34*'Period GHE data'!I$4</f>
        <v>0</v>
      </c>
      <c r="J20" s="32">
        <f>'Game Handling Establishments'!$D34*'Period GHE data'!J$4</f>
        <v>0</v>
      </c>
      <c r="K20" s="32">
        <f>'Game Handling Establishments'!$D34*'Period GHE data'!K$4</f>
        <v>0</v>
      </c>
      <c r="L20" s="32">
        <f>'Game Handling Establishments'!$D34*'Period GHE data'!L$4</f>
        <v>0</v>
      </c>
      <c r="M20" s="32">
        <f>'Game Handling Establishments'!$D34*'Period GHE data'!M$4</f>
        <v>0</v>
      </c>
      <c r="N20" s="32">
        <f>'Game Handling Establishments'!$D34*'Period GHE data'!N$4</f>
        <v>0</v>
      </c>
      <c r="O20" s="32">
        <f>'Game Handling Establishments'!$D34*'Period GHE data'!O$4</f>
        <v>0</v>
      </c>
    </row>
    <row r="21" spans="1:15" x14ac:dyDescent="0.35">
      <c r="B21" s="106" t="s">
        <v>39</v>
      </c>
      <c r="C21" s="111">
        <f>'Annual data (rates, Bands, disc'!C14</f>
        <v>130.9</v>
      </c>
      <c r="D21" s="32">
        <f>'Game Handling Establishments'!$D35*'Period GHE data'!D$4</f>
        <v>0</v>
      </c>
      <c r="E21" s="32">
        <f>'Game Handling Establishments'!$D35*'Period GHE data'!E$4</f>
        <v>0</v>
      </c>
      <c r="F21" s="32">
        <f>'Game Handling Establishments'!$D35*'Period GHE data'!F$4</f>
        <v>0</v>
      </c>
      <c r="G21" s="32">
        <f>'Game Handling Establishments'!$D35*'Period GHE data'!G$4</f>
        <v>0</v>
      </c>
      <c r="H21" s="32">
        <f>'Game Handling Establishments'!$D35*'Period GHE data'!H$4</f>
        <v>0</v>
      </c>
      <c r="I21" s="32">
        <f>'Game Handling Establishments'!$D35*'Period GHE data'!I$4</f>
        <v>0</v>
      </c>
      <c r="J21" s="32">
        <f>'Game Handling Establishments'!$D35*'Period GHE data'!J$4</f>
        <v>0</v>
      </c>
      <c r="K21" s="32">
        <f>'Game Handling Establishments'!$D35*'Period GHE data'!K$4</f>
        <v>0</v>
      </c>
      <c r="L21" s="32">
        <f>'Game Handling Establishments'!$D35*'Period GHE data'!L$4</f>
        <v>0</v>
      </c>
      <c r="M21" s="32">
        <f>'Game Handling Establishments'!$D35*'Period GHE data'!M$4</f>
        <v>0</v>
      </c>
      <c r="N21" s="32">
        <f>'Game Handling Establishments'!$D35*'Period GHE data'!N$4</f>
        <v>0</v>
      </c>
      <c r="O21" s="32">
        <f>'Game Handling Establishments'!$D35*'Period GHE data'!O$4</f>
        <v>0</v>
      </c>
    </row>
    <row r="22" spans="1:15" x14ac:dyDescent="0.35">
      <c r="B22" s="106" t="s">
        <v>42</v>
      </c>
      <c r="C22" s="111">
        <f>'Annual data (rates, Bands, disc'!C15</f>
        <v>62.05</v>
      </c>
      <c r="D22" s="32">
        <f>'Game Handling Establishments'!$D36*'Period GHE data'!D$4</f>
        <v>0</v>
      </c>
      <c r="E22" s="32">
        <f>'Game Handling Establishments'!$D36*'Period GHE data'!E$4</f>
        <v>0</v>
      </c>
      <c r="F22" s="32">
        <f>'Game Handling Establishments'!$D36*'Period GHE data'!F$4</f>
        <v>0</v>
      </c>
      <c r="G22" s="32">
        <f>'Game Handling Establishments'!$D36*'Period GHE data'!G$4</f>
        <v>0</v>
      </c>
      <c r="H22" s="32">
        <f>'Game Handling Establishments'!$D36*'Period GHE data'!H$4</f>
        <v>0</v>
      </c>
      <c r="I22" s="32">
        <f>'Game Handling Establishments'!$D36*'Period GHE data'!I$4</f>
        <v>0</v>
      </c>
      <c r="J22" s="32">
        <f>'Game Handling Establishments'!$D36*'Period GHE data'!J$4</f>
        <v>0</v>
      </c>
      <c r="K22" s="32">
        <f>'Game Handling Establishments'!$D36*'Period GHE data'!K$4</f>
        <v>0</v>
      </c>
      <c r="L22" s="32">
        <f>'Game Handling Establishments'!$D36*'Period GHE data'!L$4</f>
        <v>0</v>
      </c>
      <c r="M22" s="32">
        <f>'Game Handling Establishments'!$D36*'Period GHE data'!M$4</f>
        <v>0</v>
      </c>
      <c r="N22" s="32">
        <f>'Game Handling Establishments'!$D36*'Period GHE data'!N$4</f>
        <v>0</v>
      </c>
      <c r="O22" s="32">
        <f>'Game Handling Establishments'!$D36*'Period GHE data'!O$4</f>
        <v>0</v>
      </c>
    </row>
    <row r="23" spans="1:15" x14ac:dyDescent="0.35">
      <c r="B23" s="106" t="s">
        <v>44</v>
      </c>
      <c r="C23" s="111">
        <f>'Annual data (rates, Bands, disc'!C16</f>
        <v>39.700000000000003</v>
      </c>
      <c r="D23" s="32">
        <f>'Game Handling Establishments'!$D37*'Period GHE data'!D$4</f>
        <v>0</v>
      </c>
      <c r="E23" s="32">
        <f>'Game Handling Establishments'!$D37*'Period GHE data'!E$4</f>
        <v>0</v>
      </c>
      <c r="F23" s="32">
        <f>'Game Handling Establishments'!$D37*'Period GHE data'!F$4</f>
        <v>0</v>
      </c>
      <c r="G23" s="32">
        <f>'Game Handling Establishments'!$D37*'Period GHE data'!G$4</f>
        <v>0</v>
      </c>
      <c r="H23" s="32">
        <f>'Game Handling Establishments'!$D37*'Period GHE data'!H$4</f>
        <v>0</v>
      </c>
      <c r="I23" s="32">
        <f>'Game Handling Establishments'!$D37*'Period GHE data'!I$4</f>
        <v>0</v>
      </c>
      <c r="J23" s="32">
        <f>'Game Handling Establishments'!$D37*'Period GHE data'!J$4</f>
        <v>0</v>
      </c>
      <c r="K23" s="32">
        <f>'Game Handling Establishments'!$D37*'Period GHE data'!K$4</f>
        <v>0</v>
      </c>
      <c r="L23" s="32">
        <f>'Game Handling Establishments'!$D37*'Period GHE data'!L$4</f>
        <v>0</v>
      </c>
      <c r="M23" s="32">
        <f>'Game Handling Establishments'!$D37*'Period GHE data'!M$4</f>
        <v>0</v>
      </c>
      <c r="N23" s="32">
        <f>'Game Handling Establishments'!$D37*'Period GHE data'!N$4</f>
        <v>0</v>
      </c>
      <c r="O23" s="32">
        <f>'Game Handling Establishments'!$D37*'Period GHE data'!O$4</f>
        <v>0</v>
      </c>
    </row>
    <row r="24" spans="1:15" x14ac:dyDescent="0.35">
      <c r="B24" s="106" t="s">
        <v>46</v>
      </c>
      <c r="C24" s="111">
        <f>'Annual data (rates, Bands, disc'!C17</f>
        <v>21.25</v>
      </c>
      <c r="D24" s="32">
        <f>'Game Handling Establishments'!$D38*'Period GHE data'!D$4</f>
        <v>0</v>
      </c>
      <c r="E24" s="32">
        <f>'Game Handling Establishments'!$D38*'Period GHE data'!E$4</f>
        <v>0</v>
      </c>
      <c r="F24" s="32">
        <f>'Game Handling Establishments'!$D38*'Period GHE data'!F$4</f>
        <v>0</v>
      </c>
      <c r="G24" s="32">
        <f>'Game Handling Establishments'!$D38*'Period GHE data'!G$4</f>
        <v>0</v>
      </c>
      <c r="H24" s="32">
        <f>'Game Handling Establishments'!$D38*'Period GHE data'!H$4</f>
        <v>0</v>
      </c>
      <c r="I24" s="32">
        <f>'Game Handling Establishments'!$D38*'Period GHE data'!I$4</f>
        <v>0</v>
      </c>
      <c r="J24" s="32">
        <f>'Game Handling Establishments'!$D38*'Period GHE data'!J$4</f>
        <v>0</v>
      </c>
      <c r="K24" s="32">
        <f>'Game Handling Establishments'!$D38*'Period GHE data'!K$4</f>
        <v>0</v>
      </c>
      <c r="L24" s="32">
        <f>'Game Handling Establishments'!$D38*'Period GHE data'!L$4</f>
        <v>0</v>
      </c>
      <c r="M24" s="32">
        <f>'Game Handling Establishments'!$D38*'Period GHE data'!M$4</f>
        <v>0</v>
      </c>
      <c r="N24" s="32">
        <f>'Game Handling Establishments'!$D38*'Period GHE data'!N$4</f>
        <v>0</v>
      </c>
      <c r="O24" s="32">
        <f>'Game Handling Establishments'!$D38*'Period GHE data'!O$4</f>
        <v>0</v>
      </c>
    </row>
    <row r="25" spans="1:15" x14ac:dyDescent="0.35">
      <c r="B25" s="106" t="s">
        <v>47</v>
      </c>
      <c r="C25" s="111">
        <f>'Annual data (rates, Bands, disc'!C18</f>
        <v>39.700000000000003</v>
      </c>
      <c r="D25" s="32">
        <f>'Game Handling Establishments'!$D39*'Period GHE data'!D$4</f>
        <v>0</v>
      </c>
      <c r="E25" s="32">
        <f>'Game Handling Establishments'!$D39*'Period GHE data'!E$4</f>
        <v>0</v>
      </c>
      <c r="F25" s="32">
        <f>'Game Handling Establishments'!$D39*'Period GHE data'!F$4</f>
        <v>0</v>
      </c>
      <c r="G25" s="32">
        <f>'Game Handling Establishments'!$D39*'Period GHE data'!G$4</f>
        <v>0</v>
      </c>
      <c r="H25" s="32">
        <f>'Game Handling Establishments'!$D39*'Period GHE data'!H$4</f>
        <v>0</v>
      </c>
      <c r="I25" s="32">
        <f>'Game Handling Establishments'!$D39*'Period GHE data'!I$4</f>
        <v>0</v>
      </c>
      <c r="J25" s="32">
        <f>'Game Handling Establishments'!$D39*'Period GHE data'!J$4</f>
        <v>0</v>
      </c>
      <c r="K25" s="32">
        <f>'Game Handling Establishments'!$D39*'Period GHE data'!K$4</f>
        <v>0</v>
      </c>
      <c r="L25" s="32">
        <f>'Game Handling Establishments'!$D39*'Period GHE data'!L$4</f>
        <v>0</v>
      </c>
      <c r="M25" s="32">
        <f>'Game Handling Establishments'!$D39*'Period GHE data'!M$4</f>
        <v>0</v>
      </c>
      <c r="N25" s="32">
        <f>'Game Handling Establishments'!$D39*'Period GHE data'!N$4</f>
        <v>0</v>
      </c>
      <c r="O25" s="32">
        <f>'Game Handling Establishments'!$D39*'Period GHE data'!O$4</f>
        <v>0</v>
      </c>
    </row>
    <row r="26" spans="1:15" x14ac:dyDescent="0.35">
      <c r="B26" s="106" t="s">
        <v>48</v>
      </c>
      <c r="C26" s="111">
        <f>'Annual data (rates, Bands, disc'!C19</f>
        <v>21.25</v>
      </c>
      <c r="D26" s="32">
        <f>'Game Handling Establishments'!$D40*'Period GHE data'!D$4</f>
        <v>0</v>
      </c>
      <c r="E26" s="32">
        <f>'Game Handling Establishments'!$D40*'Period GHE data'!E$4</f>
        <v>0</v>
      </c>
      <c r="F26" s="32">
        <f>'Game Handling Establishments'!$D40*'Period GHE data'!F$4</f>
        <v>0</v>
      </c>
      <c r="G26" s="32">
        <f>'Game Handling Establishments'!$D40*'Period GHE data'!G$4</f>
        <v>0</v>
      </c>
      <c r="H26" s="32">
        <f>'Game Handling Establishments'!$D40*'Period GHE data'!H$4</f>
        <v>0</v>
      </c>
      <c r="I26" s="32">
        <f>'Game Handling Establishments'!$D40*'Period GHE data'!I$4</f>
        <v>0</v>
      </c>
      <c r="J26" s="32">
        <f>'Game Handling Establishments'!$D40*'Period GHE data'!J$4</f>
        <v>0</v>
      </c>
      <c r="K26" s="32">
        <f>'Game Handling Establishments'!$D40*'Period GHE data'!K$4</f>
        <v>0</v>
      </c>
      <c r="L26" s="32">
        <f>'Game Handling Establishments'!$D40*'Period GHE data'!L$4</f>
        <v>0</v>
      </c>
      <c r="M26" s="32">
        <f>'Game Handling Establishments'!$D40*'Period GHE data'!M$4</f>
        <v>0</v>
      </c>
      <c r="N26" s="32">
        <f>'Game Handling Establishments'!$D40*'Period GHE data'!N$4</f>
        <v>0</v>
      </c>
      <c r="O26" s="32">
        <f>'Game Handling Establishments'!$D40*'Period GHE data'!O$4</f>
        <v>0</v>
      </c>
    </row>
    <row r="27" spans="1:15" x14ac:dyDescent="0.35">
      <c r="B27" s="106" t="s">
        <v>158</v>
      </c>
      <c r="C27" s="111">
        <f>'Annual data (rates, Bands, disc'!C20</f>
        <v>21.25</v>
      </c>
      <c r="D27" s="32">
        <f>'Game Handling Establishments'!$D41*'Period GHE data'!D$4</f>
        <v>0</v>
      </c>
      <c r="E27" s="32">
        <f>'Game Handling Establishments'!$D41*'Period GHE data'!E$4</f>
        <v>0</v>
      </c>
      <c r="F27" s="32">
        <f>'Game Handling Establishments'!$D41*'Period GHE data'!F$4</f>
        <v>0</v>
      </c>
      <c r="G27" s="32">
        <f>'Game Handling Establishments'!$D41*'Period GHE data'!G$4</f>
        <v>0</v>
      </c>
      <c r="H27" s="32">
        <f>'Game Handling Establishments'!$D41*'Period GHE data'!H$4</f>
        <v>0</v>
      </c>
      <c r="I27" s="32">
        <f>'Game Handling Establishments'!$D41*'Period GHE data'!I$4</f>
        <v>0</v>
      </c>
      <c r="J27" s="32">
        <f>'Game Handling Establishments'!$D41*'Period GHE data'!J$4</f>
        <v>0</v>
      </c>
      <c r="K27" s="32">
        <f>'Game Handling Establishments'!$D41*'Period GHE data'!K$4</f>
        <v>0</v>
      </c>
      <c r="L27" s="32">
        <f>'Game Handling Establishments'!$D41*'Period GHE data'!L$4</f>
        <v>0</v>
      </c>
      <c r="M27" s="32">
        <f>'Game Handling Establishments'!$D41*'Period GHE data'!M$4</f>
        <v>0</v>
      </c>
      <c r="N27" s="32">
        <f>'Game Handling Establishments'!$D41*'Period GHE data'!N$4</f>
        <v>0</v>
      </c>
      <c r="O27" s="32">
        <f>'Game Handling Establishments'!$D41*'Period GHE data'!O$4</f>
        <v>0</v>
      </c>
    </row>
    <row r="28" spans="1:15" x14ac:dyDescent="0.35">
      <c r="C28" s="106" t="s">
        <v>82</v>
      </c>
      <c r="D28" s="111">
        <f>(D19*$C19)+(D20*$C20)+(D21*$C21)+(D22*$C22)+(D23*$C23)+(D24*$C24)+(D25*$C25)+(D26*$C26)+(D27*$C27)</f>
        <v>0</v>
      </c>
      <c r="E28" s="111">
        <f>(E19*$C19)+(E20*$C20)+(E21*$C21)+(E22*$C22)+(E23*$C23)+(E24*$C24)+(E25*$C25)+(E26*$C26)+(E27*$C27)</f>
        <v>0</v>
      </c>
      <c r="F28" s="111">
        <f t="shared" ref="F28:O28" si="4">(F19*$C19)+(F20*$C20)+(F21*$C21)+(F22*$C22)+(F23*$C23)+(F24*$C24)+(F25*$C25)+(F26*$C26)+(F27*$C27)</f>
        <v>0</v>
      </c>
      <c r="G28" s="111">
        <f t="shared" si="4"/>
        <v>0</v>
      </c>
      <c r="H28" s="111">
        <f t="shared" si="4"/>
        <v>0</v>
      </c>
      <c r="I28" s="111">
        <f t="shared" si="4"/>
        <v>0</v>
      </c>
      <c r="J28" s="111">
        <f>(J19*$C19)+(J20*$C20)+(J21*$C21)+(J22*$C22)+(J23*$C23)+(J24*$C24)+(J25*$C25)+(J26*$C26)+(J27*$C27)</f>
        <v>0</v>
      </c>
      <c r="K28" s="111">
        <f t="shared" si="4"/>
        <v>0</v>
      </c>
      <c r="L28" s="111">
        <f t="shared" si="4"/>
        <v>0</v>
      </c>
      <c r="M28" s="111">
        <f t="shared" si="4"/>
        <v>0</v>
      </c>
      <c r="N28" s="111">
        <f t="shared" si="4"/>
        <v>0</v>
      </c>
      <c r="O28" s="111">
        <f t="shared" si="4"/>
        <v>0</v>
      </c>
    </row>
    <row r="29" spans="1:15" x14ac:dyDescent="0.35">
      <c r="C29" s="106" t="s">
        <v>83</v>
      </c>
      <c r="D29" s="111">
        <f>D28*0.5</f>
        <v>0</v>
      </c>
      <c r="E29" s="111">
        <f t="shared" ref="E29:O29" si="5">E28*0.5</f>
        <v>0</v>
      </c>
      <c r="F29" s="111">
        <f>F28*0.5</f>
        <v>0</v>
      </c>
      <c r="G29" s="111">
        <f t="shared" si="5"/>
        <v>0</v>
      </c>
      <c r="H29" s="111">
        <f t="shared" si="5"/>
        <v>0</v>
      </c>
      <c r="I29" s="111">
        <f t="shared" si="5"/>
        <v>0</v>
      </c>
      <c r="J29" s="111">
        <f t="shared" si="5"/>
        <v>0</v>
      </c>
      <c r="K29" s="111">
        <f t="shared" si="5"/>
        <v>0</v>
      </c>
      <c r="L29" s="111">
        <f t="shared" si="5"/>
        <v>0</v>
      </c>
      <c r="M29" s="111">
        <f t="shared" si="5"/>
        <v>0</v>
      </c>
      <c r="N29" s="111">
        <f t="shared" si="5"/>
        <v>0</v>
      </c>
      <c r="O29" s="111">
        <f t="shared" si="5"/>
        <v>0</v>
      </c>
    </row>
    <row r="30" spans="1:15" x14ac:dyDescent="0.35">
      <c r="C30" s="106" t="s">
        <v>84</v>
      </c>
      <c r="D30" s="111">
        <f>D28-D29</f>
        <v>0</v>
      </c>
      <c r="E30" s="111">
        <f t="shared" ref="E30:N30" si="6">E28-E29</f>
        <v>0</v>
      </c>
      <c r="F30" s="111">
        <f t="shared" si="6"/>
        <v>0</v>
      </c>
      <c r="G30" s="111">
        <f t="shared" si="6"/>
        <v>0</v>
      </c>
      <c r="H30" s="111">
        <f t="shared" si="6"/>
        <v>0</v>
      </c>
      <c r="I30" s="111">
        <f t="shared" si="6"/>
        <v>0</v>
      </c>
      <c r="J30" s="111">
        <f t="shared" si="6"/>
        <v>0</v>
      </c>
      <c r="K30" s="111">
        <f t="shared" si="6"/>
        <v>0</v>
      </c>
      <c r="L30" s="111">
        <f t="shared" si="6"/>
        <v>0</v>
      </c>
      <c r="M30" s="111">
        <f t="shared" si="6"/>
        <v>0</v>
      </c>
      <c r="N30" s="111">
        <f t="shared" si="6"/>
        <v>0</v>
      </c>
      <c r="O30" s="111">
        <f>O28-O29</f>
        <v>0</v>
      </c>
    </row>
    <row r="31" spans="1:15" x14ac:dyDescent="0.35"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</row>
  </sheetData>
  <sheetProtection algorithmName="SHA-512" hashValue="LwJY40KTLve6gan3/6C823+3WCnvnUlvZblkuNyjcKQusnDJbY4YrAmVchZHzVAndVETlOEfx06G7AL4vBBqWw==" saltValue="c6TYNYeqRRCsFi7UV7yGZA==" spinCount="100000" sheet="1" objects="1" scenarios="1"/>
  <mergeCells count="3">
    <mergeCell ref="B12:C12"/>
    <mergeCell ref="B13:C13"/>
    <mergeCell ref="B14:C14"/>
  </mergeCells>
  <pageMargins left="0.7" right="0.7" top="0.75" bottom="0.75" header="0.3" footer="0.3"/>
  <pageSetup paperSize="9" orientation="landscape" r:id="rId1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59999389629810485"/>
  </sheetPr>
  <dimension ref="A1:AD48"/>
  <sheetViews>
    <sheetView showGridLines="0" topLeftCell="B1" zoomScaleNormal="100" workbookViewId="0">
      <selection activeCell="M36" sqref="M36"/>
    </sheetView>
  </sheetViews>
  <sheetFormatPr defaultRowHeight="15.5" x14ac:dyDescent="0.35"/>
  <cols>
    <col min="1" max="1" width="21.84375" bestFit="1" customWidth="1"/>
    <col min="2" max="2" width="6.69140625" style="34" bestFit="1" customWidth="1"/>
    <col min="3" max="3" width="6.69140625" bestFit="1" customWidth="1"/>
    <col min="4" max="4" width="5.23046875" bestFit="1" customWidth="1"/>
    <col min="5" max="5" width="6.4609375" bestFit="1" customWidth="1"/>
    <col min="6" max="6" width="5.53515625" bestFit="1" customWidth="1"/>
    <col min="7" max="7" width="5.3046875" bestFit="1" customWidth="1"/>
    <col min="8" max="8" width="6.4609375" bestFit="1" customWidth="1"/>
    <col min="9" max="9" width="5.3046875" bestFit="1" customWidth="1"/>
    <col min="10" max="10" width="6.4609375" bestFit="1" customWidth="1"/>
    <col min="11" max="11" width="5.3046875" style="16" bestFit="1" customWidth="1"/>
    <col min="12" max="12" width="6.4609375" bestFit="1" customWidth="1"/>
    <col min="13" max="13" width="5.3046875" bestFit="1" customWidth="1"/>
    <col min="14" max="14" width="6.4609375" bestFit="1" customWidth="1"/>
    <col min="15" max="15" width="5.3046875" bestFit="1" customWidth="1"/>
    <col min="16" max="16" width="6.4609375" bestFit="1" customWidth="1"/>
    <col min="17" max="17" width="5.3046875" bestFit="1" customWidth="1"/>
    <col min="18" max="18" width="6.4609375" bestFit="1" customWidth="1"/>
    <col min="19" max="19" width="5.3046875" bestFit="1" customWidth="1"/>
    <col min="20" max="20" width="6.4609375" bestFit="1" customWidth="1"/>
    <col min="21" max="21" width="4.3046875" bestFit="1" customWidth="1"/>
    <col min="22" max="22" width="6.4609375" bestFit="1" customWidth="1"/>
    <col min="23" max="23" width="5.3046875" bestFit="1" customWidth="1"/>
    <col min="24" max="24" width="6.4609375" bestFit="1" customWidth="1"/>
    <col min="25" max="25" width="5.3046875" bestFit="1" customWidth="1"/>
    <col min="26" max="26" width="6.4609375" bestFit="1" customWidth="1"/>
    <col min="27" max="27" width="5.3046875" bestFit="1" customWidth="1"/>
    <col min="28" max="28" width="6.4609375" bestFit="1" customWidth="1"/>
    <col min="29" max="29" width="5.3046875" bestFit="1" customWidth="1"/>
    <col min="30" max="30" width="9.07421875" bestFit="1" customWidth="1"/>
  </cols>
  <sheetData>
    <row r="1" spans="1:30" x14ac:dyDescent="0.35">
      <c r="A1" s="8" t="s">
        <v>85</v>
      </c>
    </row>
    <row r="3" spans="1:30" s="2" customFormat="1" ht="13" x14ac:dyDescent="0.3">
      <c r="A3" s="106"/>
      <c r="B3" s="130"/>
      <c r="C3" s="106"/>
      <c r="D3" s="106"/>
      <c r="E3" s="106"/>
      <c r="F3" s="202" t="s">
        <v>86</v>
      </c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4"/>
      <c r="AD3" s="106"/>
    </row>
    <row r="4" spans="1:30" s="2" customFormat="1" ht="12.75" customHeight="1" x14ac:dyDescent="0.25">
      <c r="A4" s="205" t="s">
        <v>87</v>
      </c>
      <c r="B4" s="207" t="s">
        <v>83</v>
      </c>
      <c r="C4" s="4"/>
      <c r="D4" s="4"/>
      <c r="E4" s="205" t="s">
        <v>88</v>
      </c>
      <c r="F4" s="209" t="s">
        <v>89</v>
      </c>
      <c r="G4" s="209"/>
      <c r="H4" s="210" t="s">
        <v>90</v>
      </c>
      <c r="I4" s="210"/>
      <c r="J4" s="201" t="s">
        <v>91</v>
      </c>
      <c r="K4" s="201"/>
      <c r="L4" s="201" t="s">
        <v>92</v>
      </c>
      <c r="M4" s="201"/>
      <c r="N4" s="201" t="s">
        <v>93</v>
      </c>
      <c r="O4" s="201"/>
      <c r="P4" s="201" t="s">
        <v>94</v>
      </c>
      <c r="Q4" s="201"/>
      <c r="R4" s="201" t="s">
        <v>95</v>
      </c>
      <c r="S4" s="201"/>
      <c r="T4" s="201" t="s">
        <v>96</v>
      </c>
      <c r="U4" s="201"/>
      <c r="V4" s="201" t="s">
        <v>97</v>
      </c>
      <c r="W4" s="201"/>
      <c r="X4" s="201" t="s">
        <v>98</v>
      </c>
      <c r="Y4" s="201"/>
      <c r="Z4" s="201" t="s">
        <v>99</v>
      </c>
      <c r="AA4" s="201"/>
      <c r="AB4" s="201" t="s">
        <v>100</v>
      </c>
      <c r="AC4" s="201"/>
      <c r="AD4" s="106" t="s">
        <v>101</v>
      </c>
    </row>
    <row r="5" spans="1:30" ht="21" x14ac:dyDescent="0.35">
      <c r="A5" s="206"/>
      <c r="B5" s="208"/>
      <c r="C5" s="5" t="s">
        <v>19</v>
      </c>
      <c r="D5" s="5" t="s">
        <v>102</v>
      </c>
      <c r="E5" s="206"/>
      <c r="F5" s="1" t="s">
        <v>103</v>
      </c>
      <c r="G5" s="1" t="s">
        <v>104</v>
      </c>
      <c r="H5" s="1" t="s">
        <v>103</v>
      </c>
      <c r="I5" s="1" t="s">
        <v>104</v>
      </c>
      <c r="J5" s="1" t="s">
        <v>103</v>
      </c>
      <c r="K5" s="1" t="s">
        <v>104</v>
      </c>
      <c r="L5" s="1" t="s">
        <v>103</v>
      </c>
      <c r="M5" s="1" t="s">
        <v>104</v>
      </c>
      <c r="N5" s="1" t="s">
        <v>103</v>
      </c>
      <c r="O5" s="1" t="s">
        <v>104</v>
      </c>
      <c r="P5" s="1" t="s">
        <v>103</v>
      </c>
      <c r="Q5" s="1" t="s">
        <v>104</v>
      </c>
      <c r="R5" s="1" t="s">
        <v>103</v>
      </c>
      <c r="S5" s="1" t="s">
        <v>104</v>
      </c>
      <c r="T5" s="1" t="s">
        <v>103</v>
      </c>
      <c r="U5" s="1" t="s">
        <v>105</v>
      </c>
      <c r="V5" s="1" t="s">
        <v>103</v>
      </c>
      <c r="W5" s="1" t="s">
        <v>104</v>
      </c>
      <c r="X5" s="1" t="s">
        <v>103</v>
      </c>
      <c r="Y5" s="1" t="s">
        <v>104</v>
      </c>
      <c r="Z5" s="1" t="s">
        <v>103</v>
      </c>
      <c r="AA5" s="1" t="s">
        <v>104</v>
      </c>
      <c r="AB5" s="1" t="s">
        <v>103</v>
      </c>
      <c r="AC5" s="1" t="s">
        <v>104</v>
      </c>
      <c r="AD5" s="1" t="s">
        <v>104</v>
      </c>
    </row>
    <row r="6" spans="1:30" x14ac:dyDescent="0.35">
      <c r="A6" s="131">
        <v>1</v>
      </c>
      <c r="B6" s="132">
        <f>'Annual data (rates, Bands, disc'!E3</f>
        <v>0.9</v>
      </c>
      <c r="C6" s="22" t="s">
        <v>106</v>
      </c>
      <c r="D6" s="11">
        <f>'Period GHE data'!C5</f>
        <v>65.900000000000006</v>
      </c>
      <c r="E6" s="11">
        <f t="shared" ref="E6:E10" si="0">D6*$B$6</f>
        <v>59.310000000000009</v>
      </c>
      <c r="F6" s="133">
        <f>'Annual data (rates, Bands, disc'!J3/12</f>
        <v>23.25</v>
      </c>
      <c r="G6" s="134">
        <f>IF('Period GHE data'!D5&gt;'Charging GHE Spilt per grade'!F6,'Charging GHE Spilt per grade'!F6,'Period GHE data'!D5)</f>
        <v>0</v>
      </c>
      <c r="H6" s="135">
        <f>(F6-(G6+G7+G8+G9+G10+G11))+F6</f>
        <v>46.5</v>
      </c>
      <c r="I6" s="134">
        <f>IF('Period GHE data'!E5&gt;'Charging GHE Spilt per grade'!H6,'Charging GHE Spilt per grade'!H6,'Period GHE data'!E5)</f>
        <v>0</v>
      </c>
      <c r="J6" s="135">
        <f>(H6-(I6+I7+I8+I9+I10+I11))+F6</f>
        <v>69.75</v>
      </c>
      <c r="K6" s="134">
        <f>IF('Period GHE data'!F5&gt;'Charging GHE Spilt per grade'!J6,'Charging GHE Spilt per grade'!J6,'Period GHE data'!F5)</f>
        <v>0</v>
      </c>
      <c r="L6" s="135">
        <f>(J6-(K6+K7+K8+K9+K10+K11))+F6</f>
        <v>93</v>
      </c>
      <c r="M6" s="134">
        <f>IF('Period GHE data'!G5&gt;'Charging GHE Spilt per grade'!L6,'Charging GHE Spilt per grade'!L6,'Period GHE data'!G5)</f>
        <v>0</v>
      </c>
      <c r="N6" s="135">
        <f>(L6-(M6+M7+M8+M9+M10+M11))+F6</f>
        <v>116.25</v>
      </c>
      <c r="O6" s="134">
        <f>IF('Period GHE data'!H5&gt;'Charging GHE Spilt per grade'!N6,'Charging GHE Spilt per grade'!N6,'Period GHE data'!H5)</f>
        <v>0</v>
      </c>
      <c r="P6" s="135">
        <f>(N6-(O6+O7+O8+O9+O10+O11))+F6</f>
        <v>139.5</v>
      </c>
      <c r="Q6" s="134">
        <f>IF('Period GHE data'!I5&gt;'Charging GHE Spilt per grade'!P6,'Charging GHE Spilt per grade'!P6,'Period GHE data'!I5)</f>
        <v>0</v>
      </c>
      <c r="R6" s="135">
        <f>(P6-(Q6+Q7+Q8+Q9+Q10+Q11))+F6</f>
        <v>162.75</v>
      </c>
      <c r="S6" s="134">
        <f>IF('Period GHE data'!J5&gt;'Charging GHE Spilt per grade'!R6,'Charging GHE Spilt per grade'!R6,'Period GHE data'!J5)</f>
        <v>0</v>
      </c>
      <c r="T6" s="135">
        <f>(R6-(S6+S7+S8+S9+S10+S11))+F6</f>
        <v>186</v>
      </c>
      <c r="U6" s="134">
        <f>IF('Period GHE data'!K5&gt;'Charging GHE Spilt per grade'!T6,'Charging GHE Spilt per grade'!T6,'Period GHE data'!K5)</f>
        <v>0</v>
      </c>
      <c r="V6" s="135">
        <f>(T6-(U6+U7+U8+U9+U10+U11))+F6</f>
        <v>209.25</v>
      </c>
      <c r="W6" s="134">
        <f>IF('Period GHE data'!L5&gt;'Charging GHE Spilt per grade'!V6,'Charging GHE Spilt per grade'!V6,'Period GHE data'!L5)</f>
        <v>0</v>
      </c>
      <c r="X6" s="135">
        <f>(V6-(W6+W7+W8+W9+W10+W11))+F6</f>
        <v>232.5</v>
      </c>
      <c r="Y6" s="134">
        <f>IF('Period GHE data'!M5&gt;'Charging GHE Spilt per grade'!X6,'Charging GHE Spilt per grade'!X6,'Period GHE data'!M5)</f>
        <v>0</v>
      </c>
      <c r="Z6" s="135">
        <f>(X6-(Y6+Y7+Y8+Y9+Y10+Y11))+F6</f>
        <v>255.75</v>
      </c>
      <c r="AA6" s="134">
        <f>IF('Period GHE data'!N5&gt;'Charging GHE Spilt per grade'!Z6,'Charging GHE Spilt per grade'!Z6,'Period GHE data'!N5)</f>
        <v>0</v>
      </c>
      <c r="AB6" s="135">
        <f>(Z6-(AA6+AA7+AA8+AA9+AA10+AA11))+F6</f>
        <v>279</v>
      </c>
      <c r="AC6" s="134">
        <f>IF('Period GHE data'!O5&gt;'Charging GHE Spilt per grade'!AB6,'Charging GHE Spilt per grade'!AB6,'Period GHE data'!O5)</f>
        <v>0</v>
      </c>
      <c r="AD6" s="136">
        <f>G6+I6+K6+M6+O6+Q6+S6+U6+W6+Y6+AA6+AC6</f>
        <v>0</v>
      </c>
    </row>
    <row r="7" spans="1:30" x14ac:dyDescent="0.35">
      <c r="A7" s="131"/>
      <c r="B7" s="132"/>
      <c r="C7" s="22" t="s">
        <v>107</v>
      </c>
      <c r="D7" s="11">
        <f>'Period GHE data'!C6</f>
        <v>98.850000000000009</v>
      </c>
      <c r="E7" s="11">
        <f t="shared" si="0"/>
        <v>88.965000000000003</v>
      </c>
      <c r="F7" s="135"/>
      <c r="G7" s="137">
        <f>IF(G6=F6,0,IF('Period GHE data'!D6&lt;'Charging GHE Spilt per grade'!F6-G6,'Period GHE data'!D6,'Charging GHE Spilt per grade'!F6-'Charging GHE Spilt per grade'!G6))</f>
        <v>0</v>
      </c>
      <c r="H7" s="135"/>
      <c r="I7" s="137">
        <f>IF(I6=H6,0,IF('Period GHE data'!E6&lt;'Charging GHE Spilt per grade'!H6-I6,'Period GHE data'!E6,'Charging GHE Spilt per grade'!H6-'Charging GHE Spilt per grade'!I6))</f>
        <v>0</v>
      </c>
      <c r="J7" s="135"/>
      <c r="K7" s="137">
        <f>IF(K6=J6,0,IF('Period GHE data'!F6&lt;'Charging GHE Spilt per grade'!J6-K6,'Period GHE data'!F6,'Charging GHE Spilt per grade'!J6-'Charging GHE Spilt per grade'!K6))</f>
        <v>0</v>
      </c>
      <c r="L7" s="135"/>
      <c r="M7" s="137">
        <f>IF(M6=L6,0,IF('Period GHE data'!G6&lt;'Charging GHE Spilt per grade'!L6-M6,'Period GHE data'!G6,'Charging GHE Spilt per grade'!L6-'Charging GHE Spilt per grade'!M6))</f>
        <v>0</v>
      </c>
      <c r="N7" s="135"/>
      <c r="O7" s="137">
        <f>IF(O6=N6,0,IF('Period GHE data'!H6&lt;'Charging GHE Spilt per grade'!N6-O6,'Period GHE data'!H6,'Charging GHE Spilt per grade'!N6-'Charging GHE Spilt per grade'!O6))</f>
        <v>0</v>
      </c>
      <c r="P7" s="135"/>
      <c r="Q7" s="137">
        <f>IF(Q6=P6,0,IF('Period GHE data'!I6&lt;'Charging GHE Spilt per grade'!P6-Q6,'Period GHE data'!I6,'Charging GHE Spilt per grade'!P6-'Charging GHE Spilt per grade'!Q6))</f>
        <v>0</v>
      </c>
      <c r="R7" s="135"/>
      <c r="S7" s="137">
        <f>IF(S6=R6,0,IF('Period GHE data'!J6&lt;'Charging GHE Spilt per grade'!R6-S6,'Period GHE data'!J6,'Charging GHE Spilt per grade'!R6-'Charging GHE Spilt per grade'!S6))</f>
        <v>0</v>
      </c>
      <c r="T7" s="135"/>
      <c r="U7" s="137">
        <f>IF(U6=T6,0,IF('Period GHE data'!K6&lt;'Charging GHE Spilt per grade'!T6-U6,'Period GHE data'!K6,'Charging GHE Spilt per grade'!T6-'Charging GHE Spilt per grade'!U6))</f>
        <v>0</v>
      </c>
      <c r="V7" s="135"/>
      <c r="W7" s="137">
        <f>IF(W6=V6,0,IF('Period GHE data'!L6&lt;'Charging GHE Spilt per grade'!V6-W6,'Period GHE data'!L6,'Charging GHE Spilt per grade'!V6-'Charging GHE Spilt per grade'!W6))</f>
        <v>0</v>
      </c>
      <c r="X7" s="135"/>
      <c r="Y7" s="137">
        <f>IF(Y6=X6,0,IF('Period GHE data'!M6&lt;'Charging GHE Spilt per grade'!X6-Y6,'Period GHE data'!M6,'Charging GHE Spilt per grade'!X6-'Charging GHE Spilt per grade'!Y6))</f>
        <v>0</v>
      </c>
      <c r="Z7" s="135"/>
      <c r="AA7" s="137">
        <f>IF(AA6=Z6,0,IF('Period GHE data'!N6&lt;'Charging GHE Spilt per grade'!Z6-AA6,'Period GHE data'!N6,'Charging GHE Spilt per grade'!Z6-'Charging GHE Spilt per grade'!AA6))</f>
        <v>0</v>
      </c>
      <c r="AB7" s="135"/>
      <c r="AC7" s="137">
        <f>IF(AC6=AB6,0,IF('Period GHE data'!O6&lt;'Charging GHE Spilt per grade'!AB6-AC6,'Period GHE data'!O6,'Charging GHE Spilt per grade'!AB6-'Charging GHE Spilt per grade'!AC6))</f>
        <v>0</v>
      </c>
      <c r="AD7" s="136">
        <f t="shared" ref="AD7:AD41" si="1">G7+I7+K7+M7+O7+Q7+S7+U7+W7+Y7+AA7+AC7</f>
        <v>0</v>
      </c>
    </row>
    <row r="8" spans="1:30" x14ac:dyDescent="0.35">
      <c r="A8" s="131"/>
      <c r="B8" s="132"/>
      <c r="C8" s="22" t="s">
        <v>108</v>
      </c>
      <c r="D8" s="11">
        <f>'Period GHE data'!C7</f>
        <v>131.80000000000001</v>
      </c>
      <c r="E8" s="11">
        <f t="shared" si="0"/>
        <v>118.62000000000002</v>
      </c>
      <c r="F8" s="135"/>
      <c r="G8" s="138">
        <f>IF(G6+G7=F6,0,IF('Period GHE data'!D7&lt;'Charging GHE Spilt per grade'!F6-(G6+G7),'Period GHE data'!D7,'Charging GHE Spilt per grade'!F6-('Charging GHE Spilt per grade'!G6+G7)))</f>
        <v>0</v>
      </c>
      <c r="H8" s="135"/>
      <c r="I8" s="138">
        <f>IF(I6+I7=H6,0,IF('Period GHE data'!E7&lt;'Charging GHE Spilt per grade'!H6-(I6+I7),'Period GHE data'!E7,'Charging GHE Spilt per grade'!H6-('Charging GHE Spilt per grade'!I6+I7)))</f>
        <v>0</v>
      </c>
      <c r="J8" s="135"/>
      <c r="K8" s="138">
        <f>IF(K6+K7=J6,0,IF('Period GHE data'!F7&lt;'Charging GHE Spilt per grade'!J6-(K6+K7),'Period GHE data'!F7,'Charging GHE Spilt per grade'!J6-('Charging GHE Spilt per grade'!K6+K7)))</f>
        <v>0</v>
      </c>
      <c r="L8" s="135"/>
      <c r="M8" s="138">
        <f>IF(M6+M7=L6,0,IF('Period GHE data'!G7&lt;'Charging GHE Spilt per grade'!L6-(M6+M7),'Period GHE data'!G7,'Charging GHE Spilt per grade'!L6-('Charging GHE Spilt per grade'!M6+M7)))</f>
        <v>0</v>
      </c>
      <c r="N8" s="135"/>
      <c r="O8" s="138">
        <f>IF(O6+O7=N6,0,IF('Period GHE data'!H7&lt;'Charging GHE Spilt per grade'!N6-(O6+O7),'Period GHE data'!H7,'Charging GHE Spilt per grade'!N6-('Charging GHE Spilt per grade'!O6+O7)))</f>
        <v>0</v>
      </c>
      <c r="P8" s="135"/>
      <c r="Q8" s="138">
        <f>IF(Q6+Q7=P6,0,IF('Period GHE data'!I7&lt;'Charging GHE Spilt per grade'!P6-(Q6+Q7),'Period GHE data'!I7,'Charging GHE Spilt per grade'!P6-('Charging GHE Spilt per grade'!Q6+Q7)))</f>
        <v>0</v>
      </c>
      <c r="R8" s="135"/>
      <c r="S8" s="138">
        <f>IF(S6+S7=R6,0,IF('Period GHE data'!J7&lt;'Charging GHE Spilt per grade'!R6-(S6+S7),'Period GHE data'!J7,'Charging GHE Spilt per grade'!R6-('Charging GHE Spilt per grade'!S6+S7)))</f>
        <v>0</v>
      </c>
      <c r="T8" s="135"/>
      <c r="U8" s="138">
        <f>IF(U6+U7=T6,0,IF('Period GHE data'!K7&lt;'Charging GHE Spilt per grade'!T6-(U6+U7),'Period GHE data'!K7,'Charging GHE Spilt per grade'!T6-('Charging GHE Spilt per grade'!U6+U7)))</f>
        <v>0</v>
      </c>
      <c r="V8" s="135"/>
      <c r="W8" s="138">
        <f>IF(W6+W7=V6,0,IF('Period GHE data'!L7&lt;'Charging GHE Spilt per grade'!V6-(W6+W7),'Period GHE data'!L7,'Charging GHE Spilt per grade'!V6-('Charging GHE Spilt per grade'!W6+W7)))</f>
        <v>0</v>
      </c>
      <c r="X8" s="135"/>
      <c r="Y8" s="138">
        <f>IF(Y6+Y7=X6,0,IF('Period GHE data'!M7&lt;'Charging GHE Spilt per grade'!X6-(Y6+Y7),'Period GHE data'!M7,'Charging GHE Spilt per grade'!X6-('Charging GHE Spilt per grade'!Y6+Y7)))</f>
        <v>0</v>
      </c>
      <c r="Z8" s="135"/>
      <c r="AA8" s="138">
        <f>IF(AA6+AA7=Z6,0,IF('Period GHE data'!N7&lt;'Charging GHE Spilt per grade'!Z6-(AA6+AA7),'Period GHE data'!N7,'Charging GHE Spilt per grade'!Z6-('Charging GHE Spilt per grade'!AA6+AA7)))</f>
        <v>0</v>
      </c>
      <c r="AB8" s="135"/>
      <c r="AC8" s="138">
        <f>IF(AC6+AC7=AB6,0,IF('Period GHE data'!O7&lt;'Charging GHE Spilt per grade'!AB6-(AC6+AC7),'Period GHE data'!O7,'Charging GHE Spilt per grade'!AB6-('Charging GHE Spilt per grade'!AC6+AC7)))</f>
        <v>0</v>
      </c>
      <c r="AD8" s="136">
        <f t="shared" si="1"/>
        <v>0</v>
      </c>
    </row>
    <row r="9" spans="1:30" x14ac:dyDescent="0.35">
      <c r="A9" s="131"/>
      <c r="B9" s="132"/>
      <c r="C9" s="22" t="s">
        <v>109</v>
      </c>
      <c r="D9" s="11">
        <f>'Period GHE data'!C8</f>
        <v>43.2</v>
      </c>
      <c r="E9" s="11">
        <f t="shared" si="0"/>
        <v>38.880000000000003</v>
      </c>
      <c r="F9" s="135"/>
      <c r="G9" s="139">
        <f>IF(G6+G7+G8=F6,0,IF('Period GHE data'!D8&lt;'Charging GHE Spilt per grade'!F6-(G6+G7+G8),'Period GHE data'!D8,'Charging GHE Spilt per grade'!F6-('Charging GHE Spilt per grade'!G6+G7+G8)))</f>
        <v>0</v>
      </c>
      <c r="H9" s="135"/>
      <c r="I9" s="139">
        <f>IF(I6+I7+I8=H6,0,IF('Period GHE data'!E8&lt;'Charging GHE Spilt per grade'!H6-(I6+I7+I8),'Period GHE data'!E8,'Charging GHE Spilt per grade'!H6-('Charging GHE Spilt per grade'!I6+I7+I8)))</f>
        <v>0</v>
      </c>
      <c r="J9" s="135"/>
      <c r="K9" s="139">
        <f>IF(K6+K7+K8=J6,0,IF('Period GHE data'!F8&lt;'Charging GHE Spilt per grade'!J6-(K6+K7+K8),'Period GHE data'!F8,'Charging GHE Spilt per grade'!J6-('Charging GHE Spilt per grade'!K6+K7+K8)))</f>
        <v>0</v>
      </c>
      <c r="L9" s="135"/>
      <c r="M9" s="139">
        <f>IF(M6+M7+M8=L6,0,IF('Period GHE data'!G8&lt;'Charging GHE Spilt per grade'!L6-(M6+M7+M8),'Period GHE data'!G8,'Charging GHE Spilt per grade'!L6-('Charging GHE Spilt per grade'!M6+M7+M8)))</f>
        <v>0</v>
      </c>
      <c r="N9" s="135"/>
      <c r="O9" s="139">
        <f>IF(O6+O7+O8=N6,0,IF('Period GHE data'!H8&lt;'Charging GHE Spilt per grade'!N6-(O6+O7+O8),'Period GHE data'!H8,'Charging GHE Spilt per grade'!N6-('Charging GHE Spilt per grade'!O6+O7+O8)))</f>
        <v>0</v>
      </c>
      <c r="P9" s="135"/>
      <c r="Q9" s="139">
        <f>IF(Q6+Q7+Q8=P6,0,IF('Period GHE data'!I8&lt;'Charging GHE Spilt per grade'!P6-(Q6+Q7+Q8),'Period GHE data'!I8,'Charging GHE Spilt per grade'!P6-('Charging GHE Spilt per grade'!Q6+Q7+Q8)))</f>
        <v>0</v>
      </c>
      <c r="R9" s="135"/>
      <c r="S9" s="139">
        <f>IF(S6+S7+S8=R6,0,IF('Period GHE data'!J8&lt;'Charging GHE Spilt per grade'!R6-(S6+S7+S8),'Period GHE data'!J8,'Charging GHE Spilt per grade'!R6-('Charging GHE Spilt per grade'!S6+S7+S8)))</f>
        <v>0</v>
      </c>
      <c r="T9" s="135"/>
      <c r="U9" s="139">
        <f>IF(U6+U7+U8=T6,0,IF('Period GHE data'!K8&lt;'Charging GHE Spilt per grade'!T6-(U6+U7+U8),'Period GHE data'!K8,'Charging GHE Spilt per grade'!T6-('Charging GHE Spilt per grade'!U6+U7+U8)))</f>
        <v>0</v>
      </c>
      <c r="V9" s="135"/>
      <c r="W9" s="139">
        <f>IF(W6+W7+W8=V6,0,IF('Period GHE data'!L8&lt;'Charging GHE Spilt per grade'!V6-(W6+W7+W8),'Period GHE data'!L8,'Charging GHE Spilt per grade'!V6-('Charging GHE Spilt per grade'!W6+W7+W8)))</f>
        <v>0</v>
      </c>
      <c r="X9" s="135"/>
      <c r="Y9" s="139">
        <f>IF(Y6+Y7+Y8=X6,0,IF('Period GHE data'!M8&lt;'Charging GHE Spilt per grade'!X6-(Y6+Y7+Y8),'Period GHE data'!M8,'Charging GHE Spilt per grade'!X6-('Charging GHE Spilt per grade'!Y6+Y7+Y8)))</f>
        <v>0</v>
      </c>
      <c r="Z9" s="135"/>
      <c r="AA9" s="139">
        <f>IF(AA6+AA7+AA8=Z6,0,IF('Period GHE data'!N8&lt;'Charging GHE Spilt per grade'!Z6-(AA6+AA7+AA8),'Period GHE data'!N8,'Charging GHE Spilt per grade'!Z6-('Charging GHE Spilt per grade'!AA6+AA7+AA8)))</f>
        <v>0</v>
      </c>
      <c r="AB9" s="135"/>
      <c r="AC9" s="139">
        <f>IF(AC6+AC7+AC8=AB6,0,IF('Period GHE data'!O8&lt;'Charging GHE Spilt per grade'!AB6-(AC6+AC7+AC8),'Period GHE data'!O8,'Charging GHE Spilt per grade'!AB6-('Charging GHE Spilt per grade'!AC6+AC7+AC8)))</f>
        <v>0</v>
      </c>
      <c r="AD9" s="136">
        <f t="shared" si="1"/>
        <v>0</v>
      </c>
    </row>
    <row r="10" spans="1:30" x14ac:dyDescent="0.35">
      <c r="A10" s="131"/>
      <c r="B10" s="132"/>
      <c r="C10" s="22" t="s">
        <v>110</v>
      </c>
      <c r="D10" s="11">
        <f>'Period GHE data'!C9</f>
        <v>64.800000000000011</v>
      </c>
      <c r="E10" s="11">
        <f t="shared" si="0"/>
        <v>58.320000000000014</v>
      </c>
      <c r="F10" s="135"/>
      <c r="G10" s="140">
        <f>IF(G6+G7+G8+G9=F6,0,IF('Period GHE data'!D9&lt;'Charging GHE Spilt per grade'!F6-(G6+G7+G8+G9),'Period GHE data'!D9,'Charging GHE Spilt per grade'!F6-('Charging GHE Spilt per grade'!G6+G7+G8+G9)))</f>
        <v>0</v>
      </c>
      <c r="H10" s="135"/>
      <c r="I10" s="140">
        <f>IF(I6+I7+I8+I9=H6,0,IF('Period GHE data'!E9&lt;'Charging GHE Spilt per grade'!H6-(I6+I7+I8+I9),'Period GHE data'!E9,'Charging GHE Spilt per grade'!H6-('Charging GHE Spilt per grade'!I6+I7+I8+I9)))</f>
        <v>0</v>
      </c>
      <c r="J10" s="135"/>
      <c r="K10" s="140">
        <f>IF(K6+K7+K8+K9=J6,0,IF('Period GHE data'!F9&lt;'Charging GHE Spilt per grade'!J6-(K6+K7+K8+K9),'Period GHE data'!F9,'Charging GHE Spilt per grade'!J6-('Charging GHE Spilt per grade'!K6+K7+K8+K9)))</f>
        <v>0</v>
      </c>
      <c r="L10" s="135"/>
      <c r="M10" s="140">
        <f>IF(M6+M7+M8+M9=L6,0,IF('Period GHE data'!G9&lt;'Charging GHE Spilt per grade'!L6-(M6+M7+M8+M9),'Period GHE data'!G9,'Charging GHE Spilt per grade'!L6-('Charging GHE Spilt per grade'!M6+M7+M8+M9)))</f>
        <v>0</v>
      </c>
      <c r="N10" s="135"/>
      <c r="O10" s="140">
        <f>IF(O6+O7+O8+O9=N6,0,IF('Period GHE data'!H9&lt;'Charging GHE Spilt per grade'!N6-(O6+O7+O8+O9),'Period GHE data'!H9,'Charging GHE Spilt per grade'!N6-('Charging GHE Spilt per grade'!O6+O7+O8+O9)))</f>
        <v>0</v>
      </c>
      <c r="P10" s="135"/>
      <c r="Q10" s="140">
        <f>IF(Q6+Q7+Q8+Q9=P6,0,IF('Period GHE data'!I9&lt;'Charging GHE Spilt per grade'!P6-(Q6+Q7+Q8+Q9),'Period GHE data'!I9,'Charging GHE Spilt per grade'!P6-('Charging GHE Spilt per grade'!Q6+Q7+Q8+Q9)))</f>
        <v>0</v>
      </c>
      <c r="R10" s="135"/>
      <c r="S10" s="140">
        <f>IF(S6+S7+S8+S9=R6,0,IF('Period GHE data'!J9&lt;'Charging GHE Spilt per grade'!R6-(S6+S7+S8+S9),'Period GHE data'!J9,'Charging GHE Spilt per grade'!R6-('Charging GHE Spilt per grade'!S6+S7+S8+S9)))</f>
        <v>0</v>
      </c>
      <c r="T10" s="135"/>
      <c r="U10" s="140">
        <f>IF(U6+U7+U8+U9=T6,0,IF('Period GHE data'!K9&lt;'Charging GHE Spilt per grade'!T6-(U6+U7+U8+U9),'Period GHE data'!K9,'Charging GHE Spilt per grade'!T6-('Charging GHE Spilt per grade'!U6+U7+U8+U9)))</f>
        <v>0</v>
      </c>
      <c r="V10" s="135"/>
      <c r="W10" s="140">
        <f>IF(W6+W7+W8+W9=V6,0,IF('Period GHE data'!L9&lt;'Charging GHE Spilt per grade'!V6-(W6+W7+W8+W9),'Period GHE data'!L9,'Charging GHE Spilt per grade'!V6-('Charging GHE Spilt per grade'!W6+W7+W8+W9)))</f>
        <v>0</v>
      </c>
      <c r="X10" s="135"/>
      <c r="Y10" s="140">
        <f>IF(Y6+Y7+Y8+Y9=X6,0,IF('Period GHE data'!M9&lt;'Charging GHE Spilt per grade'!X6-(Y6+Y7+Y8+Y9),'Period GHE data'!M9,'Charging GHE Spilt per grade'!X6-('Charging GHE Spilt per grade'!Y6+Y7+Y8+Y9)))</f>
        <v>0</v>
      </c>
      <c r="Z10" s="135"/>
      <c r="AA10" s="140">
        <f>IF(AA6+AA7+AA8+AA9=Z6,0,IF('Period GHE data'!N9&lt;'Charging GHE Spilt per grade'!Z6-(AA6+AA7+AA8+AA9),'Period GHE data'!N9,'Charging GHE Spilt per grade'!Z6-('Charging GHE Spilt per grade'!AA6+AA7+AA8+AA9)))</f>
        <v>0</v>
      </c>
      <c r="AB10" s="135"/>
      <c r="AC10" s="140">
        <f>IF(AC6+AC7+AC8+AC9=AB6,0,IF('Period GHE data'!O9&lt;'Charging GHE Spilt per grade'!AB6-(AC6+AC7+AC8+AC9),'Period GHE data'!O9,'Charging GHE Spilt per grade'!AB6-('Charging GHE Spilt per grade'!AC6+AC7+AC8+AC9)))</f>
        <v>0</v>
      </c>
      <c r="AD10" s="136">
        <f t="shared" si="1"/>
        <v>0</v>
      </c>
    </row>
    <row r="11" spans="1:30" x14ac:dyDescent="0.35">
      <c r="A11" s="131"/>
      <c r="B11" s="132"/>
      <c r="C11" s="22" t="s">
        <v>111</v>
      </c>
      <c r="D11" s="11">
        <f>'Period GHE data'!C10</f>
        <v>86.4</v>
      </c>
      <c r="E11" s="11">
        <f>D11*$B$6</f>
        <v>77.760000000000005</v>
      </c>
      <c r="F11" s="135"/>
      <c r="G11" s="141">
        <f>IF(G6+G7+G8+G9+G10=F6,0,IF('Period GHE data'!D10&lt;'Charging GHE Spilt per grade'!F6-(G6+G7+G8+G9+G10),'Period GHE data'!D10,'Charging GHE Spilt per grade'!F6-('Charging GHE Spilt per grade'!G6+G7+G8+G9+G10)))</f>
        <v>0</v>
      </c>
      <c r="H11" s="135"/>
      <c r="I11" s="141">
        <f>IF(I6+I7+I8+I9+I10=H6,0,IF('Period GHE data'!E10&lt;'Charging GHE Spilt per grade'!H6-(I6+I7+I8+I9+I10),'Period GHE data'!E10,'Charging GHE Spilt per grade'!H6-('Charging GHE Spilt per grade'!I6+I7+I8+I9+I10)))</f>
        <v>0</v>
      </c>
      <c r="J11" s="135"/>
      <c r="K11" s="141">
        <f>IF(K6+K7+K8+K9+K10=J6,0,IF('Period GHE data'!F10&lt;'Charging GHE Spilt per grade'!J6-(K6+K7+K8+K9+K10),'Period GHE data'!F10,'Charging GHE Spilt per grade'!J6-('Charging GHE Spilt per grade'!K6+K7+K8+K9+K10)))</f>
        <v>0</v>
      </c>
      <c r="L11" s="135"/>
      <c r="M11" s="141">
        <f>IF(M6+M7+M8+M9+M10=L6,0,IF('Period GHE data'!G10&lt;'Charging GHE Spilt per grade'!L6-(M6+M7+M8+M9+M10),'Period GHE data'!G10,'Charging GHE Spilt per grade'!L6-('Charging GHE Spilt per grade'!M6+M7+M8+M9+M10)))</f>
        <v>0</v>
      </c>
      <c r="N11" s="135"/>
      <c r="O11" s="141">
        <f>IF(O6+O7+O8+O9+O10=N6,0,IF('Period GHE data'!H10&lt;'Charging GHE Spilt per grade'!N6-(O6+O7+O8+O9+O10),'Period GHE data'!H10,'Charging GHE Spilt per grade'!N6-('Charging GHE Spilt per grade'!O6+O7+O8+O9+O10)))</f>
        <v>0</v>
      </c>
      <c r="P11" s="135"/>
      <c r="Q11" s="141">
        <f>IF(Q6+Q7+Q8+Q9+Q10=P6,0,IF('Period GHE data'!I10&lt;'Charging GHE Spilt per grade'!P6-(Q6+Q7+Q8+Q9+Q10),'Period GHE data'!I10,'Charging GHE Spilt per grade'!P6-('Charging GHE Spilt per grade'!Q6+Q7+Q8+Q9+Q10)))</f>
        <v>0</v>
      </c>
      <c r="R11" s="135"/>
      <c r="S11" s="141">
        <f>IF(S6+S7+S8+S9+S10=R6,0,IF('Period GHE data'!J10&lt;'Charging GHE Spilt per grade'!R6-(S6+S7+S8+S9+S10),'Period GHE data'!J10,'Charging GHE Spilt per grade'!R6-('Charging GHE Spilt per grade'!S6+S7+S8+S9+S10)))</f>
        <v>0</v>
      </c>
      <c r="T11" s="135"/>
      <c r="U11" s="141">
        <f>IF(U6+U7+U8+U9+U10=T6,0,IF('Period GHE data'!K10&lt;'Charging GHE Spilt per grade'!T6-(U6+U7+U8+U9+U10),'Period GHE data'!K10,'Charging GHE Spilt per grade'!T6-('Charging GHE Spilt per grade'!U6+U7+U8+U9+U10)))</f>
        <v>0</v>
      </c>
      <c r="V11" s="135"/>
      <c r="W11" s="141">
        <f>IF(W6+W7+W8+W9+W10=V6,0,IF('Period GHE data'!L10&lt;'Charging GHE Spilt per grade'!V6-(W6+W7+W8+W9+W10),'Period GHE data'!L10,'Charging GHE Spilt per grade'!V6-('Charging GHE Spilt per grade'!W6+W7+W8+W9+W10)))</f>
        <v>0</v>
      </c>
      <c r="X11" s="135"/>
      <c r="Y11" s="141">
        <f>IF(Y6+Y7+Y8+Y9+Y10=X6,0,IF('Period GHE data'!M10&lt;'Charging GHE Spilt per grade'!X6-(Y6+Y7+Y8+Y9+Y10),'Period GHE data'!M10,'Charging GHE Spilt per grade'!X6-('Charging GHE Spilt per grade'!Y6+Y7+Y8+Y9+Y10)))</f>
        <v>0</v>
      </c>
      <c r="Z11" s="135"/>
      <c r="AA11" s="141">
        <f>IF(AA6+AA7+AA8+AA9+AA10=Z6,0,IF('Period GHE data'!N10&lt;'Charging GHE Spilt per grade'!Z6-(AA6+AA7+AA8+AA9+AA10),'Period GHE data'!N10,'Charging GHE Spilt per grade'!Z6-('Charging GHE Spilt per grade'!AA6+AA7+AA8+AA9+AA10)))</f>
        <v>0</v>
      </c>
      <c r="AB11" s="135"/>
      <c r="AC11" s="141">
        <f>IF(AC6+AC7+AC8+AC9+AC10=AB6,0,IF('Period GHE data'!O10&lt;'Charging GHE Spilt per grade'!AB6-(AC6+AC7+AC8+AC9+AC10),'Period GHE data'!O10,'Charging GHE Spilt per grade'!AB6-('Charging GHE Spilt per grade'!AC6+AC7+AC8+AC9+AC10)))</f>
        <v>0</v>
      </c>
      <c r="AD11" s="136">
        <f t="shared" si="1"/>
        <v>0</v>
      </c>
    </row>
    <row r="12" spans="1:30" x14ac:dyDescent="0.35">
      <c r="A12" s="131">
        <v>2</v>
      </c>
      <c r="B12" s="132">
        <f>'Annual data (rates, Bands, disc'!E4</f>
        <v>0.75</v>
      </c>
      <c r="C12" s="22" t="str">
        <f t="shared" ref="C12:D17" si="2">C6</f>
        <v>OV Single</v>
      </c>
      <c r="D12" s="11">
        <f t="shared" si="2"/>
        <v>65.900000000000006</v>
      </c>
      <c r="E12" s="11">
        <f>D12*$B$12</f>
        <v>49.425000000000004</v>
      </c>
      <c r="F12" s="133">
        <f>'Annual data (rates, Bands, disc'!J4/12</f>
        <v>57.25</v>
      </c>
      <c r="G12" s="134">
        <f>IF('Period GHE data'!D5-'Charging GHE Spilt per grade'!G6&lt;0,0,IF('Period GHE data'!D5-'Charging GHE Spilt per grade'!G6&gt;'Charging GHE Spilt per grade'!F12,'Charging GHE Spilt per grade'!F12,'Period GHE data'!D5-'Charging GHE Spilt per grade'!G6))</f>
        <v>0</v>
      </c>
      <c r="H12" s="135">
        <f>(F12-(G12+G13+G14+G15+G16+G17))+F12</f>
        <v>114.5</v>
      </c>
      <c r="I12" s="134">
        <f>IF('Period GHE data'!E5-'Charging GHE Spilt per grade'!I6&lt;0,0,IF('Period GHE data'!E5-'Charging GHE Spilt per grade'!I6&gt;'Charging GHE Spilt per grade'!H12,'Charging GHE Spilt per grade'!H12,'Period GHE data'!E5-'Charging GHE Spilt per grade'!I6))</f>
        <v>0</v>
      </c>
      <c r="J12" s="135">
        <f>(H12-(I12+I13+I14+I15+I16+I17))+F12</f>
        <v>171.75</v>
      </c>
      <c r="K12" s="134">
        <f>IF('Period GHE data'!F5-'Charging GHE Spilt per grade'!K6&lt;0,0,IF('Period GHE data'!F5-'Charging GHE Spilt per grade'!K6&gt;'Charging GHE Spilt per grade'!J12,'Charging GHE Spilt per grade'!J12,'Period GHE data'!F5-'Charging GHE Spilt per grade'!K6))</f>
        <v>0</v>
      </c>
      <c r="L12" s="135">
        <f>(J12-(K12+K13+K14+K15+K16+K17))+F12</f>
        <v>229</v>
      </c>
      <c r="M12" s="134">
        <f>IF('Period GHE data'!G5-'Charging GHE Spilt per grade'!M6&lt;0,0,IF('Period GHE data'!G5-'Charging GHE Spilt per grade'!M6&gt;'Charging GHE Spilt per grade'!L12,'Charging GHE Spilt per grade'!L12,'Period GHE data'!G5-'Charging GHE Spilt per grade'!M6))</f>
        <v>0</v>
      </c>
      <c r="N12" s="135">
        <f>(L12-(M12+M13+M14+M15+M16+M17))+F12</f>
        <v>286.25</v>
      </c>
      <c r="O12" s="134">
        <f>IF('Period GHE data'!H5-'Charging GHE Spilt per grade'!O6&lt;0,0,IF('Period GHE data'!H5-'Charging GHE Spilt per grade'!O6&gt;'Charging GHE Spilt per grade'!N12,'Charging GHE Spilt per grade'!N12,'Period GHE data'!H5-'Charging GHE Spilt per grade'!O6))</f>
        <v>0</v>
      </c>
      <c r="P12" s="135">
        <f t="shared" ref="P12:P24" si="3">(N12-(O12+O13+O14+O15+O16+O17))+F12</f>
        <v>343.5</v>
      </c>
      <c r="Q12" s="134">
        <f>IF('Period GHE data'!I5-'Charging GHE Spilt per grade'!Q6&lt;0,0,IF('Period GHE data'!I5-'Charging GHE Spilt per grade'!Q6&gt;'Charging GHE Spilt per grade'!P12,'Charging GHE Spilt per grade'!P12,'Period GHE data'!I5-'Charging GHE Spilt per grade'!Q6))</f>
        <v>0</v>
      </c>
      <c r="R12" s="135">
        <f t="shared" ref="R12:R30" si="4">(P12-(Q12+Q13+Q14+Q15+Q16+Q17))+F12</f>
        <v>400.75</v>
      </c>
      <c r="S12" s="134">
        <f>IF('Period GHE data'!J5-'Charging GHE Spilt per grade'!S6&lt;0,0,IF('Period GHE data'!J5-'Charging GHE Spilt per grade'!S6&gt;'Charging GHE Spilt per grade'!R12,'Charging GHE Spilt per grade'!R12,'Period GHE data'!J5-'Charging GHE Spilt per grade'!S6))</f>
        <v>0</v>
      </c>
      <c r="T12" s="135">
        <f t="shared" ref="T12:T30" si="5">(R12-(S12+S13+S14+S15+S16+S17))+F12</f>
        <v>458</v>
      </c>
      <c r="U12" s="134">
        <f>IF('Period GHE data'!K5-'Charging GHE Spilt per grade'!U6&lt;0,0,IF('Period GHE data'!K5-'Charging GHE Spilt per grade'!U6&gt;'Charging GHE Spilt per grade'!T12,'Charging GHE Spilt per grade'!T12,'Period GHE data'!K5-'Charging GHE Spilt per grade'!U6))</f>
        <v>0</v>
      </c>
      <c r="V12" s="135">
        <f t="shared" ref="V12:V30" si="6">(T12-(U12+U13+U14+U15+U16+U17))+F12</f>
        <v>515.25</v>
      </c>
      <c r="W12" s="134">
        <f>IF('Period GHE data'!L5-'Charging GHE Spilt per grade'!W6&lt;0,0,IF('Period GHE data'!L5-'Charging GHE Spilt per grade'!W6&gt;'Charging GHE Spilt per grade'!V12,'Charging GHE Spilt per grade'!V12,'Period GHE data'!L5-'Charging GHE Spilt per grade'!W6))</f>
        <v>0</v>
      </c>
      <c r="X12" s="135">
        <f t="shared" ref="X12:X30" si="7">(V12-(W12+W13+W14+W15+W16+W17))+F12</f>
        <v>572.5</v>
      </c>
      <c r="Y12" s="134">
        <f>IF('Period GHE data'!M5-'Charging GHE Spilt per grade'!Y6&lt;0,0,IF('Period GHE data'!M5-'Charging GHE Spilt per grade'!Y6&gt;'Charging GHE Spilt per grade'!X12,'Charging GHE Spilt per grade'!X12,'Period GHE data'!M5-'Charging GHE Spilt per grade'!Y6))</f>
        <v>0</v>
      </c>
      <c r="Z12" s="135">
        <f t="shared" ref="Z12:Z30" si="8">(X12-(Y12+Y13+Y14+Y15+Y16+Y17))+F12</f>
        <v>629.75</v>
      </c>
      <c r="AA12" s="134">
        <f>IF('Period GHE data'!N5-'Charging GHE Spilt per grade'!AA6&lt;0,0,IF('Period GHE data'!N5-'Charging GHE Spilt per grade'!AA6&gt;'Charging GHE Spilt per grade'!Z12,'Charging GHE Spilt per grade'!Z12,'Period GHE data'!N5-'Charging GHE Spilt per grade'!AA6))</f>
        <v>0</v>
      </c>
      <c r="AB12" s="135">
        <f t="shared" ref="AB12:AB30" si="9">(Z12-(AA12+AA13+AA14+AA15+AA16+AA17))+F12</f>
        <v>687</v>
      </c>
      <c r="AC12" s="134">
        <f>IF('Period GHE data'!O5-'Charging GHE Spilt per grade'!AC6&lt;0,0,IF('Period GHE data'!O5-'Charging GHE Spilt per grade'!AC6&gt;'Charging GHE Spilt per grade'!AB12,'Charging GHE Spilt per grade'!AB12,'Period GHE data'!O5-'Charging GHE Spilt per grade'!AC6))</f>
        <v>0</v>
      </c>
      <c r="AD12" s="136">
        <f t="shared" si="1"/>
        <v>0</v>
      </c>
    </row>
    <row r="13" spans="1:30" x14ac:dyDescent="0.35">
      <c r="A13" s="131"/>
      <c r="B13" s="132"/>
      <c r="C13" s="22" t="str">
        <f t="shared" si="2"/>
        <v>OV 1.5</v>
      </c>
      <c r="D13" s="11">
        <f t="shared" si="2"/>
        <v>98.850000000000009</v>
      </c>
      <c r="E13" s="11">
        <f t="shared" ref="E13:E17" si="10">D13*$B$12</f>
        <v>74.137500000000003</v>
      </c>
      <c r="F13" s="135"/>
      <c r="G13" s="137">
        <f>IF(G12=F12,0,IF('Period GHE data'!D6-G7&lt;'Charging GHE Spilt per grade'!F12-G12,'Period GHE data'!D6-G7,'Charging GHE Spilt per grade'!F12-'Charging GHE Spilt per grade'!G12))</f>
        <v>0</v>
      </c>
      <c r="H13" s="135"/>
      <c r="I13" s="137">
        <f>IF(I12=H12,0,IF('Period GHE data'!E6-I7&lt;'Charging GHE Spilt per grade'!H12-I12,'Period GHE data'!E6-I7,'Charging GHE Spilt per grade'!H12-'Charging GHE Spilt per grade'!I12))</f>
        <v>0</v>
      </c>
      <c r="J13" s="135"/>
      <c r="K13" s="137">
        <f>IF(K12=J12,0,IF('Period GHE data'!F6-K7&lt;'Charging GHE Spilt per grade'!J12-K12,'Period GHE data'!F6-K7,'Charging GHE Spilt per grade'!J12-'Charging GHE Spilt per grade'!K12))</f>
        <v>0</v>
      </c>
      <c r="L13" s="135"/>
      <c r="M13" s="137">
        <f>IF(M12=L12,0,IF('Period GHE data'!G6-M7&lt;'Charging GHE Spilt per grade'!L12-M12,'Period GHE data'!G6-M7,'Charging GHE Spilt per grade'!L12-'Charging GHE Spilt per grade'!M12))</f>
        <v>0</v>
      </c>
      <c r="N13" s="135"/>
      <c r="O13" s="137">
        <f>IF(O12=N12,0,IF('Period GHE data'!H6-O7&lt;'Charging GHE Spilt per grade'!N12-O12,'Period GHE data'!H6-O7,'Charging GHE Spilt per grade'!N12-'Charging GHE Spilt per grade'!O12))</f>
        <v>0</v>
      </c>
      <c r="P13" s="135"/>
      <c r="Q13" s="137">
        <f>IF(Q12=P12,0,IF('Period GHE data'!I6-Q7&lt;'Charging GHE Spilt per grade'!P12-Q12,'Period GHE data'!I6-Q7,'Charging GHE Spilt per grade'!P12-'Charging GHE Spilt per grade'!Q12))</f>
        <v>0</v>
      </c>
      <c r="R13" s="135"/>
      <c r="S13" s="137">
        <f>IF(S12=R12,0,IF('Period GHE data'!J6-S7&lt;'Charging GHE Spilt per grade'!R12-S12,'Period GHE data'!J6-S7,'Charging GHE Spilt per grade'!R12-'Charging GHE Spilt per grade'!S12))</f>
        <v>0</v>
      </c>
      <c r="T13" s="135"/>
      <c r="U13" s="137">
        <f>IF(U12=T12,0,IF('Period GHE data'!K6-U7&lt;'Charging GHE Spilt per grade'!T12-U12,'Period GHE data'!K6-U7,'Charging GHE Spilt per grade'!T12-'Charging GHE Spilt per grade'!U12))</f>
        <v>0</v>
      </c>
      <c r="V13" s="135"/>
      <c r="W13" s="137">
        <f>IF(W12=V12,0,IF('Period GHE data'!L6-W7&lt;'Charging GHE Spilt per grade'!V12-W12,'Period GHE data'!L6-W7,'Charging GHE Spilt per grade'!V12-'Charging GHE Spilt per grade'!W12))</f>
        <v>0</v>
      </c>
      <c r="X13" s="135"/>
      <c r="Y13" s="137">
        <f>IF(Y12=X12,0,IF('Period GHE data'!M6-Y7&lt;'Charging GHE Spilt per grade'!X12-Y12,'Period GHE data'!M6-Y7,'Charging GHE Spilt per grade'!X12-'Charging GHE Spilt per grade'!Y12))</f>
        <v>0</v>
      </c>
      <c r="Z13" s="135"/>
      <c r="AA13" s="137">
        <f>IF(AA12=Z12,0,IF('Period GHE data'!N6-AA7&lt;'Charging GHE Spilt per grade'!Z12-AA12,'Period GHE data'!N6-AA7,'Charging GHE Spilt per grade'!Z12-'Charging GHE Spilt per grade'!AA12))</f>
        <v>0</v>
      </c>
      <c r="AB13" s="135"/>
      <c r="AC13" s="137">
        <f>IF(AC12=AB12,0,IF('Period GHE data'!O6-AC7&lt;'Charging GHE Spilt per grade'!AB12-AC12,'Period GHE data'!O6-AC7,'Charging GHE Spilt per grade'!AB12-'Charging GHE Spilt per grade'!AC12))</f>
        <v>0</v>
      </c>
      <c r="AD13" s="136">
        <f t="shared" si="1"/>
        <v>0</v>
      </c>
    </row>
    <row r="14" spans="1:30" x14ac:dyDescent="0.35">
      <c r="A14" s="131"/>
      <c r="B14" s="132"/>
      <c r="C14" s="22" t="str">
        <f t="shared" si="2"/>
        <v>OV Dbl</v>
      </c>
      <c r="D14" s="11">
        <f t="shared" si="2"/>
        <v>131.80000000000001</v>
      </c>
      <c r="E14" s="11">
        <f t="shared" si="10"/>
        <v>98.850000000000009</v>
      </c>
      <c r="F14" s="135"/>
      <c r="G14" s="138">
        <f>IF(G12+G13=F12,0,IF('Period GHE data'!D7-G8&lt;'Charging GHE Spilt per grade'!F12-(G12+G13),'Period GHE data'!D7-G8,'Charging GHE Spilt per grade'!F12-'Charging GHE Spilt per grade'!G12+G13))</f>
        <v>0</v>
      </c>
      <c r="H14" s="135"/>
      <c r="I14" s="138">
        <f>IF(I12+I13=H12,0,IF('Period GHE data'!E7-I8&lt;'Charging GHE Spilt per grade'!H12-(I12+I13),'Period GHE data'!E7-I8,'Charging GHE Spilt per grade'!H12-'Charging GHE Spilt per grade'!I12+I13))</f>
        <v>0</v>
      </c>
      <c r="J14" s="135"/>
      <c r="K14" s="138">
        <f>IF(K12+K13=J12,0,IF('Period GHE data'!F7-K8&lt;'Charging GHE Spilt per grade'!J12-(K12+K13),'Period GHE data'!F7-K8,'Charging GHE Spilt per grade'!J12-('Charging GHE Spilt per grade'!K12+K13)))</f>
        <v>0</v>
      </c>
      <c r="L14" s="135"/>
      <c r="M14" s="138">
        <f>IF(M12+M13=L12,0,IF('Period GHE data'!G7-M8&lt;'Charging GHE Spilt per grade'!L12-(M12+M13),'Period GHE data'!G7-M8,'Charging GHE Spilt per grade'!L12-('Charging GHE Spilt per grade'!M12+M13)))</f>
        <v>0</v>
      </c>
      <c r="N14" s="135"/>
      <c r="O14" s="138">
        <f>IF(O12+O13=N12,0,IF('Period GHE data'!H7-O8&lt;'Charging GHE Spilt per grade'!N12-(O12+O13),'Period GHE data'!H7-O8,'Charging GHE Spilt per grade'!N12-('Charging GHE Spilt per grade'!O12+O13)))</f>
        <v>0</v>
      </c>
      <c r="P14" s="135"/>
      <c r="Q14" s="138">
        <f>IF(Q12+Q13=P12,0,IF('Period GHE data'!I7-Q8&lt;'Charging GHE Spilt per grade'!P12-(Q12+Q13),'Period GHE data'!I7-Q8,'Charging GHE Spilt per grade'!P12-('Charging GHE Spilt per grade'!Q12+Q13)))</f>
        <v>0</v>
      </c>
      <c r="R14" s="135"/>
      <c r="S14" s="138">
        <f>IF(S12+S13=R12,0,IF('Period GHE data'!J7-S8&lt;'Charging GHE Spilt per grade'!R12-(S12+S13),'Period GHE data'!J7-S8,'Charging GHE Spilt per grade'!R12-('Charging GHE Spilt per grade'!S12+S13)))</f>
        <v>0</v>
      </c>
      <c r="T14" s="135"/>
      <c r="U14" s="138">
        <f>IF(U12+U13=T12,0,IF('Period GHE data'!K7-U8&lt;'Charging GHE Spilt per grade'!T12-(U12+U13),'Period GHE data'!K7-U8,'Charging GHE Spilt per grade'!T12-('Charging GHE Spilt per grade'!U12+U13)))</f>
        <v>0</v>
      </c>
      <c r="V14" s="135"/>
      <c r="W14" s="138">
        <f>IF(W12+W13=V12,0,IF('Period GHE data'!L7-W8&lt;'Charging GHE Spilt per grade'!V12-(W12+W13),'Period GHE data'!L7-W8,'Charging GHE Spilt per grade'!V12-('Charging GHE Spilt per grade'!W12+W13)))</f>
        <v>0</v>
      </c>
      <c r="X14" s="135"/>
      <c r="Y14" s="138">
        <f>IF(Y12+Y13=X12,0,IF('Period GHE data'!M7-Y8&lt;'Charging GHE Spilt per grade'!X12-(Y12+Y13),'Period GHE data'!M7-Y8,'Charging GHE Spilt per grade'!X12-('Charging GHE Spilt per grade'!Y12+Y13)))</f>
        <v>0</v>
      </c>
      <c r="Z14" s="135"/>
      <c r="AA14" s="138">
        <f>IF(AA12+AA13=Z12,0,IF('Period GHE data'!N7-AA8&lt;'Charging GHE Spilt per grade'!Z12-(AA12+AA13),'Period GHE data'!N7-AA8,'Charging GHE Spilt per grade'!Z12-('Charging GHE Spilt per grade'!AA12+AA13)))</f>
        <v>0</v>
      </c>
      <c r="AB14" s="135"/>
      <c r="AC14" s="138">
        <f>IF(AC12+AC13=AB12,0,IF('Period GHE data'!O7-AC8&lt;'Charging GHE Spilt per grade'!AB12-(AC12+AC13),'Period GHE data'!O7-AC8,'Charging GHE Spilt per grade'!AB12-('Charging GHE Spilt per grade'!AC12+AC13)))</f>
        <v>0</v>
      </c>
      <c r="AD14" s="136">
        <f t="shared" si="1"/>
        <v>0</v>
      </c>
    </row>
    <row r="15" spans="1:30" x14ac:dyDescent="0.35">
      <c r="A15" s="131"/>
      <c r="B15" s="132"/>
      <c r="C15" s="22" t="str">
        <f t="shared" si="2"/>
        <v>SMI Single</v>
      </c>
      <c r="D15" s="11">
        <f t="shared" si="2"/>
        <v>43.2</v>
      </c>
      <c r="E15" s="11">
        <f t="shared" si="10"/>
        <v>32.400000000000006</v>
      </c>
      <c r="F15" s="135"/>
      <c r="G15" s="139">
        <f>IF(G12+G13+G14=F12,0,IF('Period GHE data'!D8-G9&lt;'Charging GHE Spilt per grade'!F12-(G12+G13+G14),'Period GHE data'!D8-G9,'Charging GHE Spilt per grade'!F12-('Charging GHE Spilt per grade'!G12+G13+G14)))</f>
        <v>0</v>
      </c>
      <c r="H15" s="135"/>
      <c r="I15" s="139">
        <f>IF(I12+I13+I14=H12,0,IF('Period GHE data'!E8-I9&lt;'Charging GHE Spilt per grade'!H12-(I12+I13+I14),'Period GHE data'!E8-I9,'Charging GHE Spilt per grade'!H12-('Charging GHE Spilt per grade'!I12+I13+I14)))</f>
        <v>0</v>
      </c>
      <c r="J15" s="135"/>
      <c r="K15" s="139">
        <f>IF(K12+K13+K14=J12,0,IF('Period GHE data'!F8-K9&lt;'Charging GHE Spilt per grade'!J12-(K12+K13+K14),'Period GHE data'!F8-K9,'Charging GHE Spilt per grade'!J12-('Charging GHE Spilt per grade'!K12+K13+K14)))</f>
        <v>0</v>
      </c>
      <c r="L15" s="135"/>
      <c r="M15" s="139">
        <f>IF(M12+M13+M14=L12,0,IF('Period GHE data'!G8-M9&lt;'Charging GHE Spilt per grade'!L12-(M12+M13+M14),'Period GHE data'!G8-M9,'Charging GHE Spilt per grade'!L12-('Charging GHE Spilt per grade'!M12+M13+M14)))</f>
        <v>0</v>
      </c>
      <c r="N15" s="135"/>
      <c r="O15" s="139">
        <f>IF(O12+O13+O14=N12,0,IF('Period GHE data'!H8-O9&lt;'Charging GHE Spilt per grade'!N12-(O12+O13+O14),'Period GHE data'!H8-O9,'Charging GHE Spilt per grade'!N12-('Charging GHE Spilt per grade'!O12+O13+O14)))</f>
        <v>0</v>
      </c>
      <c r="P15" s="135"/>
      <c r="Q15" s="139">
        <f>IF(Q12+Q13+Q14=P12,0,IF('Period GHE data'!I8-Q9&lt;'Charging GHE Spilt per grade'!P12-(Q12+Q13+Q14),'Period GHE data'!I8-Q9,'Charging GHE Spilt per grade'!P12-('Charging GHE Spilt per grade'!Q12+Q13+Q14)))</f>
        <v>0</v>
      </c>
      <c r="R15" s="135"/>
      <c r="S15" s="139">
        <f>IF(S12+S13+S14=R12,0,IF('Period GHE data'!J8-S9&lt;'Charging GHE Spilt per grade'!R12-(S12+S13+S14),'Period GHE data'!J8-S9,'Charging GHE Spilt per grade'!R12-('Charging GHE Spilt per grade'!S12+S13+S14)))</f>
        <v>0</v>
      </c>
      <c r="T15" s="135"/>
      <c r="U15" s="139">
        <f>IF(U12+U13+U14=T12,0,IF('Period GHE data'!K8-U9&lt;'Charging GHE Spilt per grade'!T12-(U12+U13+U14),'Period GHE data'!K8-U9,'Charging GHE Spilt per grade'!T12-('Charging GHE Spilt per grade'!U12+U13+U14)))</f>
        <v>0</v>
      </c>
      <c r="V15" s="135"/>
      <c r="W15" s="139">
        <f>IF(W12+W13+W14=V12,0,IF('Period GHE data'!L8-W9&lt;'Charging GHE Spilt per grade'!V12-(W12+W13+W14),'Period GHE data'!L8-W9,'Charging GHE Spilt per grade'!V12-('Charging GHE Spilt per grade'!W12+W13+W14)))</f>
        <v>0</v>
      </c>
      <c r="X15" s="135"/>
      <c r="Y15" s="139">
        <f>IF(Y12+Y13+Y14=X12,0,IF('Period GHE data'!M8-Y9&lt;'Charging GHE Spilt per grade'!X12-(Y12+Y13+Y14),'Period GHE data'!M8-Y9,'Charging GHE Spilt per grade'!X12-('Charging GHE Spilt per grade'!Y12+Y13+Y14)))</f>
        <v>0</v>
      </c>
      <c r="Z15" s="135"/>
      <c r="AA15" s="139">
        <f>IF(AA12+AA13+AA14=Z12,0,IF('Period GHE data'!N8-AA9&lt;'Charging GHE Spilt per grade'!Z12-(AA12+AA13+AA14),'Period GHE data'!N8-AA9,'Charging GHE Spilt per grade'!Z12-('Charging GHE Spilt per grade'!AA12+AA13+AA14)))</f>
        <v>0</v>
      </c>
      <c r="AB15" s="135"/>
      <c r="AC15" s="139">
        <f>IF(AC12+AC13+AC14=AB12,0,IF('Period GHE data'!O8-AC9&lt;'Charging GHE Spilt per grade'!AB12-(AC12+AC13+AC14),'Period GHE data'!O8-AC9,'Charging GHE Spilt per grade'!AB12-('Charging GHE Spilt per grade'!AC12+AC13+AC14)))</f>
        <v>0</v>
      </c>
      <c r="AD15" s="136">
        <f t="shared" si="1"/>
        <v>0</v>
      </c>
    </row>
    <row r="16" spans="1:30" x14ac:dyDescent="0.35">
      <c r="A16" s="131"/>
      <c r="B16" s="132"/>
      <c r="C16" s="22" t="str">
        <f t="shared" si="2"/>
        <v>SMI 1.5</v>
      </c>
      <c r="D16" s="11">
        <f t="shared" si="2"/>
        <v>64.800000000000011</v>
      </c>
      <c r="E16" s="11">
        <f t="shared" si="10"/>
        <v>48.600000000000009</v>
      </c>
      <c r="F16" s="135"/>
      <c r="G16" s="140">
        <f>IF(G12+G13+G14+G15=F12,0,IF('Period GHE data'!D9-G10&lt;'Charging GHE Spilt per grade'!F12-(G12+G13+G14+G15),'Period GHE data'!D9-G10,'Charging GHE Spilt per grade'!F12-('Charging GHE Spilt per grade'!G12+G13+G14+G15)))</f>
        <v>0</v>
      </c>
      <c r="H16" s="135"/>
      <c r="I16" s="140">
        <f>IF(I12+I13+I14+I15=H12,0,IF('Period GHE data'!E9-I10&lt;'Charging GHE Spilt per grade'!H12-(I12+I13+I14+I15),'Period GHE data'!E9-I10,'Charging GHE Spilt per grade'!H12-('Charging GHE Spilt per grade'!I12+I13+I14+I15)))</f>
        <v>0</v>
      </c>
      <c r="J16" s="135"/>
      <c r="K16" s="140">
        <f>IF(K12+K13+K14+K15=J12,0,IF('Period GHE data'!F9-K10&lt;'Charging GHE Spilt per grade'!J12-(K12+K13+K14+K15),'Period GHE data'!F9-K10,'Charging GHE Spilt per grade'!J12-('Charging GHE Spilt per grade'!K12+K13+K14+K15)))</f>
        <v>0</v>
      </c>
      <c r="L16" s="135"/>
      <c r="M16" s="140">
        <f>IF(M12+M13+M14+M15=L12,0,IF('Period GHE data'!G9-M10&lt;'Charging GHE Spilt per grade'!L12-(M12+M13+M14+M15),'Period GHE data'!G9-M10,'Charging GHE Spilt per grade'!L12-('Charging GHE Spilt per grade'!M12+M13+M14+M15)))</f>
        <v>0</v>
      </c>
      <c r="N16" s="135"/>
      <c r="O16" s="140">
        <f>IF(O12+O13+O14+O15=N12,0,IF('Period GHE data'!H9-O10&lt;'Charging GHE Spilt per grade'!N12-(O12+O13+O14+O15),'Period GHE data'!H9-O10,'Charging GHE Spilt per grade'!N12-('Charging GHE Spilt per grade'!O12+O13+O14+O15)))</f>
        <v>0</v>
      </c>
      <c r="P16" s="135"/>
      <c r="Q16" s="140">
        <f>IF(Q12+Q13+Q14+Q15=P12,0,IF('Period GHE data'!I9-Q10&lt;'Charging GHE Spilt per grade'!P12-(Q12+Q13+Q14+Q15),'Period GHE data'!I9-Q10,'Charging GHE Spilt per grade'!P12-('Charging GHE Spilt per grade'!Q12+Q13+Q14+Q15)))</f>
        <v>0</v>
      </c>
      <c r="R16" s="135"/>
      <c r="S16" s="140">
        <f>IF(S12+S13+S14+S15=R12,0,IF('Period GHE data'!J9-S10&lt;'Charging GHE Spilt per grade'!R12-(S12+S13+S14+S15),'Period GHE data'!J9-S10,'Charging GHE Spilt per grade'!R12-('Charging GHE Spilt per grade'!S12+S13+S14+S15)))</f>
        <v>0</v>
      </c>
      <c r="T16" s="135"/>
      <c r="U16" s="140">
        <f>IF(U12+U13+U14+U15=T12,0,IF('Period GHE data'!K9-U10&lt;'Charging GHE Spilt per grade'!T12-(U12+U13+U14+U15),'Period GHE data'!K9-U10,'Charging GHE Spilt per grade'!T12-('Charging GHE Spilt per grade'!U12+U13+U14+U15)))</f>
        <v>0</v>
      </c>
      <c r="V16" s="135"/>
      <c r="W16" s="140">
        <f>IF(W12+W13+W14+W15=V12,0,IF('Period GHE data'!L9-W10&lt;'Charging GHE Spilt per grade'!V12-(W12+W13+W14+W15),'Period GHE data'!L9-W10,'Charging GHE Spilt per grade'!V12-('Charging GHE Spilt per grade'!W12+W13+W14+W15)))</f>
        <v>0</v>
      </c>
      <c r="X16" s="135"/>
      <c r="Y16" s="140">
        <f>IF(Y12+Y13+Y14+Y15=X12,0,IF('Period GHE data'!M9-Y10&lt;'Charging GHE Spilt per grade'!X12-(Y12+Y13+Y14+Y15),'Period GHE data'!M9-Y10,'Charging GHE Spilt per grade'!X12-('Charging GHE Spilt per grade'!Y12+Y13+Y14+Y15)))</f>
        <v>0</v>
      </c>
      <c r="Z16" s="135"/>
      <c r="AA16" s="140">
        <f>IF(AA12+AA13+AA14+AA15=Z12,0,IF('Period GHE data'!N9-AA10&lt;'Charging GHE Spilt per grade'!Z12-(AA12+AA13+AA14+AA15),'Period GHE data'!N9-AA10,'Charging GHE Spilt per grade'!Z12-('Charging GHE Spilt per grade'!AA12+AA13+AA14+AA15)))</f>
        <v>0</v>
      </c>
      <c r="AB16" s="135"/>
      <c r="AC16" s="140">
        <f>IF(AC12+AC13+AC14+AC15=AB12,0,IF('Period GHE data'!O9-AC10&lt;'Charging GHE Spilt per grade'!AB12-(AC12+AC13+AC14+AC15),'Period GHE data'!O9-AC10,'Charging GHE Spilt per grade'!AB12-('Charging GHE Spilt per grade'!AC12+AC13+AC14+AC15)))</f>
        <v>0</v>
      </c>
      <c r="AD16" s="136">
        <f t="shared" si="1"/>
        <v>0</v>
      </c>
    </row>
    <row r="17" spans="1:30" x14ac:dyDescent="0.35">
      <c r="A17" s="131"/>
      <c r="B17" s="132"/>
      <c r="C17" s="22" t="str">
        <f t="shared" si="2"/>
        <v>SMI Dbl</v>
      </c>
      <c r="D17" s="11">
        <f t="shared" si="2"/>
        <v>86.4</v>
      </c>
      <c r="E17" s="11">
        <f t="shared" si="10"/>
        <v>64.800000000000011</v>
      </c>
      <c r="F17" s="135"/>
      <c r="G17" s="141">
        <f>IF(G12+G13+G14+G15+G16=F12,0,IF('Period GHE data'!D10-G11&lt;'Charging GHE Spilt per grade'!F12-(G12+G13+G14+G15+G16),'Period GHE data'!D10-G11,'Charging GHE Spilt per grade'!F12-('Charging GHE Spilt per grade'!G12+G13+G14+G15+G16)))</f>
        <v>0</v>
      </c>
      <c r="H17" s="135"/>
      <c r="I17" s="141">
        <f>IF(I12+I13+I14+I15+I16=H12,0,IF('Period GHE data'!E10-I11&lt;'Charging GHE Spilt per grade'!H12-(I12+I13+I14+I15+I16),'Period GHE data'!E10-I11,'Charging GHE Spilt per grade'!H12-('Charging GHE Spilt per grade'!I12+I13+I14+I15+I16)))</f>
        <v>0</v>
      </c>
      <c r="J17" s="135"/>
      <c r="K17" s="141">
        <f>IF(K12+K13+K14+K15+K16=J12,0,IF('Period GHE data'!F10-K11&lt;'Charging GHE Spilt per grade'!J12-(K12+K13+K14+K15+K16),'Period GHE data'!F10-K11,'Charging GHE Spilt per grade'!J12-('Charging GHE Spilt per grade'!K12+K13+K14+K15+K16)))</f>
        <v>0</v>
      </c>
      <c r="L17" s="135"/>
      <c r="M17" s="141">
        <f>IF(M12+M13+M14+M15+M16=L12,0,IF('Period GHE data'!G10-M11&lt;'Charging GHE Spilt per grade'!L12-(M12+M13+M14+M15+M16),'Period GHE data'!G10-M11,'Charging GHE Spilt per grade'!L12-('Charging GHE Spilt per grade'!M12+M13+M14+M15+M16)))</f>
        <v>0</v>
      </c>
      <c r="N17" s="135"/>
      <c r="O17" s="141">
        <f>IF(O12+O13+O14+O15+O16=N12,0,IF('Period GHE data'!H10-O11&lt;'Charging GHE Spilt per grade'!N12-(O12+O13+O14+O15+O16),'Period GHE data'!H10-O11,'Charging GHE Spilt per grade'!N12-('Charging GHE Spilt per grade'!O12+O13+O14+O15+O16)))</f>
        <v>0</v>
      </c>
      <c r="P17" s="135"/>
      <c r="Q17" s="141">
        <f>IF(Q12+Q13+Q14+Q15+Q16=P12,0,IF('Period GHE data'!I10-Q11&lt;'Charging GHE Spilt per grade'!P12-(Q12+Q13+Q14+Q15+Q16),'Period GHE data'!I10-Q11,'Charging GHE Spilt per grade'!P12-('Charging GHE Spilt per grade'!Q12+Q13+Q14+Q15+Q16)))</f>
        <v>0</v>
      </c>
      <c r="R17" s="135"/>
      <c r="S17" s="141">
        <f>IF(S12+S13+S14+S15+S16=R12,0,IF('Period GHE data'!J10-S11&lt;'Charging GHE Spilt per grade'!R12-(S12+S13+S14+S15+S16),'Period GHE data'!J10-S11,'Charging GHE Spilt per grade'!R12-('Charging GHE Spilt per grade'!S12+S13+S14+S15+S16)))</f>
        <v>0</v>
      </c>
      <c r="T17" s="135"/>
      <c r="U17" s="141">
        <f>IF(U12+U13+U14+U15+U16=T12,0,IF('Period GHE data'!K10-U11&lt;'Charging GHE Spilt per grade'!T12-(U12+U13+U14+U15+U16),'Period GHE data'!K10-U11,'Charging GHE Spilt per grade'!T12-('Charging GHE Spilt per grade'!U12+U13+U14+U15+U16)))</f>
        <v>0</v>
      </c>
      <c r="V17" s="135"/>
      <c r="W17" s="141">
        <f>IF(W12+W13+W14+W15+W16=V12,0,IF('Period GHE data'!L10-W11&lt;'Charging GHE Spilt per grade'!V12-(W12+W13+W14+W15+W16),'Period GHE data'!L10-W11,'Charging GHE Spilt per grade'!V12-('Charging GHE Spilt per grade'!W12+W13+W14+W15+W16)))</f>
        <v>0</v>
      </c>
      <c r="X17" s="135"/>
      <c r="Y17" s="141">
        <f>IF(Y12+Y13+Y14+Y15+Y16=X12,0,IF('Period GHE data'!M10-Y11&lt;'Charging GHE Spilt per grade'!X12-(Y12+Y13+Y14+Y15+Y16),'Period GHE data'!M10-Y11,'Charging GHE Spilt per grade'!X12-('Charging GHE Spilt per grade'!Y12+Y13+Y14+Y15+Y16)))</f>
        <v>0</v>
      </c>
      <c r="Z17" s="135"/>
      <c r="AA17" s="141">
        <f>IF(AA12+AA13+AA14+AA15+AA16=Z12,0,IF('Period GHE data'!N10-AA11&lt;'Charging GHE Spilt per grade'!Z12-(AA12+AA13+AA14+AA15+AA16),'Period GHE data'!N10-AA11,'Charging GHE Spilt per grade'!Z12-('Charging GHE Spilt per grade'!AA12+AA13+AA14+AA15+AA16)))</f>
        <v>0</v>
      </c>
      <c r="AB17" s="135"/>
      <c r="AC17" s="141">
        <f>IF(AC12+AC13+AC14+AC15+AC16=AB12,0,IF('Period GHE data'!O10-AC11&lt;'Charging GHE Spilt per grade'!AB12-(AC12+AC13+AC14+AC15+AC16),'Period GHE data'!O10-AC11,'Charging GHE Spilt per grade'!AB12-('Charging GHE Spilt per grade'!AC12+AC13+AC14+AC15+AC16)))</f>
        <v>0</v>
      </c>
      <c r="AD17" s="136">
        <f t="shared" si="1"/>
        <v>0</v>
      </c>
    </row>
    <row r="18" spans="1:30" x14ac:dyDescent="0.35">
      <c r="A18" s="131">
        <v>3</v>
      </c>
      <c r="B18" s="132">
        <f>'Annual data (rates, Bands, disc'!E5</f>
        <v>0.17</v>
      </c>
      <c r="C18" s="22" t="str">
        <f t="shared" ref="C18:C23" si="11">C6</f>
        <v>OV Single</v>
      </c>
      <c r="D18" s="11">
        <f t="shared" ref="D18:D41" si="12">D12</f>
        <v>65.900000000000006</v>
      </c>
      <c r="E18" s="11">
        <f>D18*$B$18</f>
        <v>11.203000000000001</v>
      </c>
      <c r="F18" s="133">
        <f>'Annual data (rates, Bands, disc'!J5/12</f>
        <v>174.5</v>
      </c>
      <c r="G18" s="134">
        <f>IF('Period GHE data'!D5-('Charging GHE Spilt per grade'!G6+G12)&lt;0,0,IF('Period GHE data'!D5-('Charging GHE Spilt per grade'!G6+G12)&gt;'Charging GHE Spilt per grade'!F18,'Charging GHE Spilt per grade'!F18,'Period GHE data'!D5-('Charging GHE Spilt per grade'!G6+G12)))</f>
        <v>0</v>
      </c>
      <c r="H18" s="135">
        <f>(F18-(G18+G19+G20+G21+G22+G23))+F18</f>
        <v>349</v>
      </c>
      <c r="I18" s="134">
        <f>IF('Period GHE data'!E5-('Charging GHE Spilt per grade'!I6+I12)&lt;0,0,IF('Period GHE data'!E5-('Charging GHE Spilt per grade'!I6+I12)&gt;'Charging GHE Spilt per grade'!H18,'Charging GHE Spilt per grade'!H18,'Period GHE data'!E5-('Charging GHE Spilt per grade'!I6+I12)))</f>
        <v>0</v>
      </c>
      <c r="J18" s="135">
        <f>(H18-(I18+I19+I20+I21+I22+I23))+F18</f>
        <v>523.5</v>
      </c>
      <c r="K18" s="134">
        <f>IF('Period GHE data'!F5-('Charging GHE Spilt per grade'!K6+K12)&lt;0,0,IF('Period GHE data'!F5-('Charging GHE Spilt per grade'!K6+K12)&gt;'Charging GHE Spilt per grade'!J18,'Charging GHE Spilt per grade'!J18,'Period GHE data'!F5-('Charging GHE Spilt per grade'!K6+K12)))</f>
        <v>0</v>
      </c>
      <c r="L18" s="135">
        <f>(J18-(K18+K19+K20+K21+K22+K23))+F18</f>
        <v>698</v>
      </c>
      <c r="M18" s="134">
        <f>IF('Period GHE data'!G5-('Charging GHE Spilt per grade'!M6+M12)&lt;0,0,IF('Period GHE data'!G5-('Charging GHE Spilt per grade'!M6+M12)&gt;'Charging GHE Spilt per grade'!L18,'Charging GHE Spilt per grade'!L18,'Period GHE data'!G5-('Charging GHE Spilt per grade'!M6+M12)))</f>
        <v>0</v>
      </c>
      <c r="N18" s="135">
        <f>(L18-(M18+M19+M20+M21+M22+M23))+F18</f>
        <v>872.5</v>
      </c>
      <c r="O18" s="134">
        <f>IF('Period GHE data'!H5-('Charging GHE Spilt per grade'!O6+O12)&lt;0,0,IF('Period GHE data'!H5-('Charging GHE Spilt per grade'!O6+O12)&gt;'Charging GHE Spilt per grade'!N18,'Charging GHE Spilt per grade'!N18,'Period GHE data'!H5-('Charging GHE Spilt per grade'!O6+O12)))</f>
        <v>0</v>
      </c>
      <c r="P18" s="135">
        <f t="shared" si="3"/>
        <v>1047</v>
      </c>
      <c r="Q18" s="134">
        <f>IF('Period GHE data'!I5-('Charging GHE Spilt per grade'!Q6+Q12)&lt;0,0,IF('Period GHE data'!I5-('Charging GHE Spilt per grade'!Q6+Q12)&gt;'Charging GHE Spilt per grade'!P18,'Charging GHE Spilt per grade'!P18,'Period GHE data'!I5-('Charging GHE Spilt per grade'!Q6+Q12)))</f>
        <v>0</v>
      </c>
      <c r="R18" s="135">
        <f t="shared" si="4"/>
        <v>1221.5</v>
      </c>
      <c r="S18" s="134">
        <f>IF('Period GHE data'!J5-('Charging GHE Spilt per grade'!S6+S12)&lt;0,0,IF('Period GHE data'!J5-('Charging GHE Spilt per grade'!S6+S12)&gt;'Charging GHE Spilt per grade'!R18,'Charging GHE Spilt per grade'!R18,'Period GHE data'!J5-('Charging GHE Spilt per grade'!S6+S12)))</f>
        <v>0</v>
      </c>
      <c r="T18" s="135">
        <f t="shared" si="5"/>
        <v>1396</v>
      </c>
      <c r="U18" s="134">
        <f>IF('Period GHE data'!K5-('Charging GHE Spilt per grade'!U6+U12)&lt;0,0,IF('Period GHE data'!K5-('Charging GHE Spilt per grade'!U6+U12)&gt;'Charging GHE Spilt per grade'!T18,'Charging GHE Spilt per grade'!T18,'Period GHE data'!K5-('Charging GHE Spilt per grade'!U6+U12)))</f>
        <v>0</v>
      </c>
      <c r="V18" s="135">
        <f t="shared" si="6"/>
        <v>1570.5</v>
      </c>
      <c r="W18" s="134">
        <f>IF('Period GHE data'!L5-('Charging GHE Spilt per grade'!W6+W12)&lt;0,0,IF('Period GHE data'!L5-('Charging GHE Spilt per grade'!W6+W12)&gt;'Charging GHE Spilt per grade'!V18,'Charging GHE Spilt per grade'!V18,'Period GHE data'!L5-('Charging GHE Spilt per grade'!W6+W12)))</f>
        <v>0</v>
      </c>
      <c r="X18" s="135">
        <f t="shared" si="7"/>
        <v>1745</v>
      </c>
      <c r="Y18" s="134">
        <f>IF('Period GHE data'!M5-('Charging GHE Spilt per grade'!Y6+Y12)&lt;0,0,IF('Period GHE data'!M5-('Charging GHE Spilt per grade'!Y6+Y12)&gt;'Charging GHE Spilt per grade'!X18,'Charging GHE Spilt per grade'!X18,'Period GHE data'!M5-('Charging GHE Spilt per grade'!Y6+Y12)))</f>
        <v>0</v>
      </c>
      <c r="Z18" s="135">
        <f t="shared" si="8"/>
        <v>1919.5</v>
      </c>
      <c r="AA18" s="134">
        <f>IF('Period GHE data'!N5-('Charging GHE Spilt per grade'!AA6+AA12)&lt;0,0,IF('Period GHE data'!N5-('Charging GHE Spilt per grade'!AA6+AA12)&gt;'Charging GHE Spilt per grade'!Z18,'Charging GHE Spilt per grade'!Z18,'Period GHE data'!N5-('Charging GHE Spilt per grade'!AA6+AA12)))</f>
        <v>0</v>
      </c>
      <c r="AB18" s="135">
        <f t="shared" si="9"/>
        <v>2094</v>
      </c>
      <c r="AC18" s="134">
        <f>IF('Period GHE data'!O5-('Charging GHE Spilt per grade'!AC6+AC12)&lt;0,0,IF('Period GHE data'!O5-('Charging GHE Spilt per grade'!AC6+AC12)&gt;'Charging GHE Spilt per grade'!AB18,'Charging GHE Spilt per grade'!AB18,'Period GHE data'!O5-('Charging GHE Spilt per grade'!AC6+AC12)))</f>
        <v>0</v>
      </c>
      <c r="AD18" s="136">
        <f t="shared" si="1"/>
        <v>0</v>
      </c>
    </row>
    <row r="19" spans="1:30" x14ac:dyDescent="0.35">
      <c r="A19" s="131"/>
      <c r="B19" s="132"/>
      <c r="C19" s="22" t="str">
        <f t="shared" si="11"/>
        <v>OV 1.5</v>
      </c>
      <c r="D19" s="11">
        <f t="shared" si="12"/>
        <v>98.850000000000009</v>
      </c>
      <c r="E19" s="11">
        <f t="shared" ref="E19:E23" si="13">D19*$B$18</f>
        <v>16.804500000000004</v>
      </c>
      <c r="F19" s="142"/>
      <c r="G19" s="137">
        <f>IF(G18=F18,0,IF('Period GHE data'!D6-G13-G7&lt;'Charging GHE Spilt per grade'!F18-G18,'Period GHE data'!D6-G13-G7,'Charging GHE Spilt per grade'!F18-'Charging GHE Spilt per grade'!G18))</f>
        <v>0</v>
      </c>
      <c r="H19" s="135"/>
      <c r="I19" s="137">
        <f>IF(I18=H18,0,IF('Period GHE data'!E6-I13-I7&lt;'Charging GHE Spilt per grade'!H18-I18,'Period GHE data'!E6-I13-I7,'Charging GHE Spilt per grade'!H18-'Charging GHE Spilt per grade'!I18))</f>
        <v>0</v>
      </c>
      <c r="J19" s="135"/>
      <c r="K19" s="137">
        <f>IF(K18=J18,0,IF('Period GHE data'!F6-K13-K7&lt;'Charging GHE Spilt per grade'!J18-K18,'Period GHE data'!F6-K13-K7,'Charging GHE Spilt per grade'!J18-'Charging GHE Spilt per grade'!K18))</f>
        <v>0</v>
      </c>
      <c r="L19" s="135"/>
      <c r="M19" s="137">
        <f>IF(M18=L18,0,IF('Period GHE data'!G6-M13-M7&lt;'Charging GHE Spilt per grade'!L18-M18,'Period GHE data'!G6-M13-M7,'Charging GHE Spilt per grade'!L18-'Charging GHE Spilt per grade'!M18))</f>
        <v>0</v>
      </c>
      <c r="N19" s="135"/>
      <c r="O19" s="137">
        <f>IF(O18=N18,0,IF('Period GHE data'!H6-O13-O7&lt;'Charging GHE Spilt per grade'!N18-O18,'Period GHE data'!H6-O13-O7,'Charging GHE Spilt per grade'!N18-'Charging GHE Spilt per grade'!O18))</f>
        <v>0</v>
      </c>
      <c r="P19" s="135"/>
      <c r="Q19" s="137">
        <f>IF(Q18=P18,0,IF('Period GHE data'!I6-Q13-Q7&lt;'Charging GHE Spilt per grade'!P18-Q18,'Period GHE data'!I6-Q13-Q7,'Charging GHE Spilt per grade'!P18-'Charging GHE Spilt per grade'!Q18))</f>
        <v>0</v>
      </c>
      <c r="R19" s="135"/>
      <c r="S19" s="137">
        <f>IF(S18=R18,0,IF('Period GHE data'!J6-S13-S7&lt;'Charging GHE Spilt per grade'!R18-S18,'Period GHE data'!J6-S13-S7,'Charging GHE Spilt per grade'!R18-'Charging GHE Spilt per grade'!S18))</f>
        <v>0</v>
      </c>
      <c r="T19" s="135"/>
      <c r="U19" s="137">
        <f>IF(U18=T18,0,IF('Period GHE data'!K6-U13-U7&lt;'Charging GHE Spilt per grade'!T18-U18,'Period GHE data'!K6-U13-U7,'Charging GHE Spilt per grade'!T18-'Charging GHE Spilt per grade'!U18))</f>
        <v>0</v>
      </c>
      <c r="V19" s="135"/>
      <c r="W19" s="137">
        <f>IF(W18=V18,0,IF('Period GHE data'!L6-W13-W7&lt;'Charging GHE Spilt per grade'!V18-W18,'Period GHE data'!L6-W13-W7,'Charging GHE Spilt per grade'!V18-'Charging GHE Spilt per grade'!W18))</f>
        <v>0</v>
      </c>
      <c r="X19" s="135"/>
      <c r="Y19" s="137">
        <f>IF(Y18=X18,0,IF('Period GHE data'!M6-Y13-Y7&lt;'Charging GHE Spilt per grade'!X18-Y18,'Period GHE data'!M6-Y13-Y7,'Charging GHE Spilt per grade'!X18-'Charging GHE Spilt per grade'!Y18))</f>
        <v>0</v>
      </c>
      <c r="Z19" s="135"/>
      <c r="AA19" s="137">
        <f>IF(AA18=Z18,0,IF('Period GHE data'!N6-AA13-AA7&lt;'Charging GHE Spilt per grade'!Z18-AA18,'Period GHE data'!N6-AA13-AA7,'Charging GHE Spilt per grade'!Z18-'Charging GHE Spilt per grade'!AA18))</f>
        <v>0</v>
      </c>
      <c r="AB19" s="135"/>
      <c r="AC19" s="137">
        <f>IF(AC18=AB18,0,IF('Period GHE data'!O6-AC13-AC7&lt;'Charging GHE Spilt per grade'!AB18-AC18,'Period GHE data'!O6-AC13-AC7,'Charging GHE Spilt per grade'!AB18-'Charging GHE Spilt per grade'!AC18))</f>
        <v>0</v>
      </c>
      <c r="AD19" s="136">
        <f t="shared" si="1"/>
        <v>0</v>
      </c>
    </row>
    <row r="20" spans="1:30" x14ac:dyDescent="0.35">
      <c r="A20" s="131"/>
      <c r="B20" s="132"/>
      <c r="C20" s="22" t="str">
        <f t="shared" si="11"/>
        <v>OV Dbl</v>
      </c>
      <c r="D20" s="11">
        <f t="shared" si="12"/>
        <v>131.80000000000001</v>
      </c>
      <c r="E20" s="11">
        <f t="shared" si="13"/>
        <v>22.406000000000002</v>
      </c>
      <c r="F20" s="142"/>
      <c r="G20" s="138">
        <f>IF(G18+G19=F18,0,IF('Period GHE data'!D7-G8-G14&lt;'Charging GHE Spilt per grade'!F18-(G18+G19),'Period GHE data'!D7-G8-G14,'Charging GHE Spilt per grade'!F18-('Charging GHE Spilt per grade'!G18+G19)))</f>
        <v>0</v>
      </c>
      <c r="H20" s="135"/>
      <c r="I20" s="138">
        <f>IF(I18+I19=H18,0,IF('Period GHE data'!E7-I8-I14&lt;'Charging GHE Spilt per grade'!H18-(I18+I19),'Period GHE data'!E7-I8-I14,'Charging GHE Spilt per grade'!H18-('Charging GHE Spilt per grade'!I18+I19)))</f>
        <v>0</v>
      </c>
      <c r="J20" s="135"/>
      <c r="K20" s="138">
        <f>IF(K18+K19=J18,0,IF('Period GHE data'!F7-K8-K14&lt;'Charging GHE Spilt per grade'!J18-(K18+K19),'Period GHE data'!F7-K8-K14,'Charging GHE Spilt per grade'!J18-('Charging GHE Spilt per grade'!K18+K19)))</f>
        <v>0</v>
      </c>
      <c r="L20" s="135"/>
      <c r="M20" s="138">
        <f>IF(M18+M19=L18,0,IF('Period GHE data'!G7-M8-M14&lt;'Charging GHE Spilt per grade'!L18-(M18+M19),'Period GHE data'!G7-M8-M14,'Charging GHE Spilt per grade'!L18-('Charging GHE Spilt per grade'!M18+M19)))</f>
        <v>0</v>
      </c>
      <c r="N20" s="135"/>
      <c r="O20" s="138">
        <f>IF(O18+O19=N18,0,IF('Period GHE data'!H7-O8-O14&lt;'Charging GHE Spilt per grade'!N18-(O18+O19),'Period GHE data'!H7-O8-O14,'Charging GHE Spilt per grade'!N18-('Charging GHE Spilt per grade'!O18+O19)))</f>
        <v>0</v>
      </c>
      <c r="P20" s="135"/>
      <c r="Q20" s="138">
        <f>IF(Q18+Q19=P18,0,IF('Period GHE data'!I7-Q8-Q14&lt;'Charging GHE Spilt per grade'!P18-(Q18+Q19),'Period GHE data'!I7-Q8-Q14,'Charging GHE Spilt per grade'!P18-('Charging GHE Spilt per grade'!Q18+Q19)))</f>
        <v>0</v>
      </c>
      <c r="R20" s="135"/>
      <c r="S20" s="138">
        <f>IF(S18+S19=R18,0,IF('Period GHE data'!J7-S8-S14&lt;'Charging GHE Spilt per grade'!R18-(S18+S19),'Period GHE data'!J7-S8-S14,'Charging GHE Spilt per grade'!R18-('Charging GHE Spilt per grade'!S18+S19)))</f>
        <v>0</v>
      </c>
      <c r="T20" s="135"/>
      <c r="U20" s="138">
        <f>IF(U18+U19=T18,0,IF('Period GHE data'!K7-U8-U14&lt;'Charging GHE Spilt per grade'!T18-(U18+U19),'Period GHE data'!K7-U8-U14,'Charging GHE Spilt per grade'!T18-('Charging GHE Spilt per grade'!U18+U19)))</f>
        <v>0</v>
      </c>
      <c r="V20" s="135"/>
      <c r="W20" s="138">
        <f>IF(W18+W19=V18,0,IF('Period GHE data'!L7-W8-W14&lt;'Charging GHE Spilt per grade'!V18-(W18+W19),'Period GHE data'!L7-W8-W14,'Charging GHE Spilt per grade'!V18-('Charging GHE Spilt per grade'!W18+W19)))</f>
        <v>0</v>
      </c>
      <c r="X20" s="135"/>
      <c r="Y20" s="138">
        <f>IF(Y18+Y19=X18,0,IF('Period GHE data'!M7-Y8-Y14&lt;'Charging GHE Spilt per grade'!X18-(Y18+Y19),'Period GHE data'!M7-Y8-Y14,'Charging GHE Spilt per grade'!X18-('Charging GHE Spilt per grade'!Y18+Y19)))</f>
        <v>0</v>
      </c>
      <c r="Z20" s="135"/>
      <c r="AA20" s="138">
        <f>IF(AA18+AA19=Z18,0,IF('Period GHE data'!N7-AA8-AA14&lt;'Charging GHE Spilt per grade'!Z18-(AA18+AA19),'Period GHE data'!N7-AA8-AA14,'Charging GHE Spilt per grade'!Z18-('Charging GHE Spilt per grade'!AA18+AA19)))</f>
        <v>0</v>
      </c>
      <c r="AB20" s="135"/>
      <c r="AC20" s="138">
        <f>IF(AC18+AC19=AB18,0,IF('Period GHE data'!O7-AC8-AC14&lt;'Charging GHE Spilt per grade'!AB18-(AC18+AC19),'Period GHE data'!O7-AC8-AC14,'Charging GHE Spilt per grade'!AB18-('Charging GHE Spilt per grade'!AC18+AC19)))</f>
        <v>0</v>
      </c>
      <c r="AD20" s="136">
        <f t="shared" si="1"/>
        <v>0</v>
      </c>
    </row>
    <row r="21" spans="1:30" x14ac:dyDescent="0.35">
      <c r="A21" s="131"/>
      <c r="B21" s="132"/>
      <c r="C21" s="22" t="str">
        <f t="shared" si="11"/>
        <v>SMI Single</v>
      </c>
      <c r="D21" s="11">
        <f t="shared" si="12"/>
        <v>43.2</v>
      </c>
      <c r="E21" s="11">
        <f t="shared" si="13"/>
        <v>7.3440000000000012</v>
      </c>
      <c r="F21" s="142"/>
      <c r="G21" s="17">
        <f>IF(G18+G19+G20=F18,0,IF('Period GHE data'!D8-(G9+G15)&lt;'Charging GHE Spilt per grade'!F18-(G18+G19+G20),'Period GHE data'!D8-G9-G15,'Charging GHE Spilt per grade'!F18-('Charging GHE Spilt per grade'!G18+G19+G20)))</f>
        <v>0</v>
      </c>
      <c r="H21" s="135"/>
      <c r="I21" s="17">
        <f>IF(I18+I19+I20=H18,0,IF('Period GHE data'!E8-(I9+I15)&lt;'Charging GHE Spilt per grade'!H18-(I18+I19+I20),'Period GHE data'!E8-I9-I15,'Charging GHE Spilt per grade'!H18-('Charging GHE Spilt per grade'!I18+I19+I20)))</f>
        <v>0</v>
      </c>
      <c r="J21" s="135"/>
      <c r="K21" s="139">
        <f>IF(K18+K19+K20=J18,0,IF('Period GHE data'!F8-K9-K15&lt;'Charging GHE Spilt per grade'!J18-(K18+K19+K20),'Period GHE data'!F8-K9-K15,'Charging GHE Spilt per grade'!J18-('Charging GHE Spilt per grade'!K18+K19+K20)))</f>
        <v>0</v>
      </c>
      <c r="L21" s="135"/>
      <c r="M21" s="139">
        <f>IF(M18+M19+M20=L18,0,IF('Period GHE data'!G8-M9-M15&lt;'Charging GHE Spilt per grade'!L18-(M18+M19+M20),'Period GHE data'!G8-M9-M15,'Charging GHE Spilt per grade'!L18-('Charging GHE Spilt per grade'!M18+M19+M20)))</f>
        <v>0</v>
      </c>
      <c r="N21" s="135"/>
      <c r="O21" s="139">
        <f>IF(O18+O19+O20=N18,0,IF('Period GHE data'!H8-O9-O15&lt;'Charging GHE Spilt per grade'!N18-(O18+O19+O20),'Period GHE data'!H8-O9-O15,'Charging GHE Spilt per grade'!N18-('Charging GHE Spilt per grade'!O18+O19+O20)))</f>
        <v>0</v>
      </c>
      <c r="P21" s="135"/>
      <c r="Q21" s="139">
        <f>IF(Q18+Q19+Q20=P18,0,IF('Period GHE data'!I8-Q9-Q15&lt;'Charging GHE Spilt per grade'!P18-(Q18+Q19+Q20),'Period GHE data'!I8-Q9-Q15,'Charging GHE Spilt per grade'!P18-('Charging GHE Spilt per grade'!Q18+Q19+Q20)))</f>
        <v>0</v>
      </c>
      <c r="R21" s="135"/>
      <c r="S21" s="139">
        <f>IF(S18+S19+S20=R18,0,IF('Period GHE data'!J8-S9-S15&lt;'Charging GHE Spilt per grade'!R18-(S18+S19+S20),'Period GHE data'!J8-S9-S15,'Charging GHE Spilt per grade'!R18-('Charging GHE Spilt per grade'!S18+S19+S20)))</f>
        <v>0</v>
      </c>
      <c r="T21" s="135"/>
      <c r="U21" s="139">
        <f>IF(U18+U19+U20=T18,0,IF('Period GHE data'!K8-U9-U15&lt;'Charging GHE Spilt per grade'!T18-(U18+U19+U20),'Period GHE data'!K8-U9-U15,'Charging GHE Spilt per grade'!T18-('Charging GHE Spilt per grade'!U18+U19+U20)))</f>
        <v>0</v>
      </c>
      <c r="V21" s="135"/>
      <c r="W21" s="139">
        <f>IF(W18+W19+W20=V18,0,IF('Period GHE data'!L8-W9-W15&lt;'Charging GHE Spilt per grade'!V18-(W18+W19+W20),'Period GHE data'!L8-W9-W15,'Charging GHE Spilt per grade'!V18-('Charging GHE Spilt per grade'!W18+W19+W20)))</f>
        <v>0</v>
      </c>
      <c r="X21" s="135"/>
      <c r="Y21" s="139">
        <f>IF(Y18+Y19+Y20=X18,0,IF('Period GHE data'!M8-Y9-Y15&lt;'Charging GHE Spilt per grade'!X18-(Y18+Y19+Y20),'Period GHE data'!M8-Y9-Y15,'Charging GHE Spilt per grade'!X18-('Charging GHE Spilt per grade'!Y18+Y19+Y20)))</f>
        <v>0</v>
      </c>
      <c r="Z21" s="135"/>
      <c r="AA21" s="139">
        <f>IF(AA18+AA19+AA20=Z18,0,IF('Period GHE data'!N8-AA9-AA15&lt;'Charging GHE Spilt per grade'!Z18-(AA18+AA19+AA20),'Period GHE data'!N8-AA9-AA15,'Charging GHE Spilt per grade'!Z18-('Charging GHE Spilt per grade'!AA18+AA19+AA20)))</f>
        <v>0</v>
      </c>
      <c r="AB21" s="135"/>
      <c r="AC21" s="139">
        <f>IF(AC18+AC19+AC20=AB18,0,IF('Period GHE data'!O8-AC9-AC15&lt;'Charging GHE Spilt per grade'!AB18-(AC18+AC19+AC20),'Period GHE data'!O8-AC9-AC15,'Charging GHE Spilt per grade'!AB18-('Charging GHE Spilt per grade'!AC18+AC19+AC20)))</f>
        <v>0</v>
      </c>
      <c r="AD21" s="136">
        <f t="shared" si="1"/>
        <v>0</v>
      </c>
    </row>
    <row r="22" spans="1:30" x14ac:dyDescent="0.35">
      <c r="A22" s="131"/>
      <c r="B22" s="132"/>
      <c r="C22" s="22" t="str">
        <f t="shared" si="11"/>
        <v>SMI 1.5</v>
      </c>
      <c r="D22" s="11">
        <f t="shared" si="12"/>
        <v>64.800000000000011</v>
      </c>
      <c r="E22" s="11">
        <f t="shared" si="13"/>
        <v>11.016000000000004</v>
      </c>
      <c r="F22" s="142"/>
      <c r="G22" s="18">
        <f>IF(G18+G19+G20+G21=F18,0,IF('Period GHE data'!D9-(G10+G16)&lt;'Charging GHE Spilt per grade'!F18-(G18+G19+G20+G21),'Period GHE data'!D9-(G10+G16),'Charging GHE Spilt per grade'!F18-('Charging GHE Spilt per grade'!G18+G19+G20+G21)))</f>
        <v>0</v>
      </c>
      <c r="H22" s="135"/>
      <c r="I22" s="18">
        <f>IF(I18+I19+I20+I21=H18,0,IF('Period GHE data'!E9-(I10+I16)&lt;'Charging GHE Spilt per grade'!H18-(I18+I19+I20+I21),'Period GHE data'!E9-(I10+I16),'Charging GHE Spilt per grade'!H18-('Charging GHE Spilt per grade'!I18+I19+I20+I21)))</f>
        <v>0</v>
      </c>
      <c r="J22" s="135"/>
      <c r="K22" s="140">
        <f>IF(K18+K19+K20+K21=J18,0,IF('Period GHE data'!F9-K10-K16&lt;'Charging GHE Spilt per grade'!J18-(K18+K19+K20+K21),'Period GHE data'!F9-K10-K16,'Charging GHE Spilt per grade'!J18-('Charging GHE Spilt per grade'!K18+K19+K20+K21)))</f>
        <v>0</v>
      </c>
      <c r="L22" s="135"/>
      <c r="M22" s="140">
        <f>IF(M18+M19+M20+M21=L18,0,IF('Period GHE data'!G9-M10-M16&lt;'Charging GHE Spilt per grade'!L18-(M18+M19+M20+M21),'Period GHE data'!G9-M10-M16,'Charging GHE Spilt per grade'!L18-('Charging GHE Spilt per grade'!M18+M19+M20+M21)))</f>
        <v>0</v>
      </c>
      <c r="N22" s="135"/>
      <c r="O22" s="140">
        <f>IF(O18+O19+O20+O21=N18,0,IF('Period GHE data'!H9-O10-O16&lt;'Charging GHE Spilt per grade'!N18-(O18+O19+O20+O21),'Period GHE data'!H9-O10-O16,'Charging GHE Spilt per grade'!N18-('Charging GHE Spilt per grade'!O18+O19+O20+O21)))</f>
        <v>0</v>
      </c>
      <c r="P22" s="135"/>
      <c r="Q22" s="140">
        <f>IF(Q18+Q19+Q20+Q21=P18,0,IF('Period GHE data'!I9-Q10-Q16&lt;'Charging GHE Spilt per grade'!P18-(Q18+Q19+Q20+Q21),'Period GHE data'!I9-Q10-Q16,'Charging GHE Spilt per grade'!P18-('Charging GHE Spilt per grade'!Q18+Q19+Q20+Q21)))</f>
        <v>0</v>
      </c>
      <c r="R22" s="135"/>
      <c r="S22" s="140">
        <f>IF(S18+S19+S20+S21=R18,0,IF('Period GHE data'!J9-S10-S16&lt;'Charging GHE Spilt per grade'!R18-(S18+S19+S20+S21),'Period GHE data'!J9-S10-S16,'Charging GHE Spilt per grade'!R18-('Charging GHE Spilt per grade'!S18+S19+S20+S21)))</f>
        <v>0</v>
      </c>
      <c r="T22" s="135"/>
      <c r="U22" s="140">
        <f>IF(U18+U19+U20+U21=T18,0,IF('Period GHE data'!K9-U10-U16&lt;'Charging GHE Spilt per grade'!T18-(U18+U19+U20+U21),'Period GHE data'!K9-U10-U16,'Charging GHE Spilt per grade'!T18-('Charging GHE Spilt per grade'!U18+U19+U20+U21)))</f>
        <v>0</v>
      </c>
      <c r="V22" s="135"/>
      <c r="W22" s="140">
        <f>IF(W18+W19+W20+W21=V18,0,IF('Period GHE data'!L9-W10-W16&lt;'Charging GHE Spilt per grade'!V18-(W18+W19+W20+W21),'Period GHE data'!L9-W10-W16,'Charging GHE Spilt per grade'!V18-('Charging GHE Spilt per grade'!W18+W19+W20+W21)))</f>
        <v>0</v>
      </c>
      <c r="X22" s="135"/>
      <c r="Y22" s="140">
        <f>IF(Y18+Y19+Y20+Y21=X18,0,IF('Period GHE data'!M9-Y10-Y16&lt;'Charging GHE Spilt per grade'!X18-(Y18+Y19+Y20+Y21),'Period GHE data'!M9-Y10-Y16,'Charging GHE Spilt per grade'!X18-('Charging GHE Spilt per grade'!Y18+Y19+Y20+Y21)))</f>
        <v>0</v>
      </c>
      <c r="Z22" s="135"/>
      <c r="AA22" s="140">
        <f>IF(AA18+AA19+AA20+AA21=Z18,0,IF('Period GHE data'!N9-AA10-AA16&lt;'Charging GHE Spilt per grade'!Z18-(AA18+AA19+AA20+AA21),'Period GHE data'!N9-AA10-AA16,'Charging GHE Spilt per grade'!Z18-('Charging GHE Spilt per grade'!AA18+AA19+AA20+AA21)))</f>
        <v>0</v>
      </c>
      <c r="AB22" s="135"/>
      <c r="AC22" s="140">
        <f>IF(AC18+AC19+AC20+AC21=AB18,0,IF('Period GHE data'!O9-AC10-AC16&lt;'Charging GHE Spilt per grade'!AB18-(AC18+AC19+AC20+AC21),'Period GHE data'!O9-AC10-AC16,'Charging GHE Spilt per grade'!AB18-('Charging GHE Spilt per grade'!AC18+AC19+AC20+AC21)))</f>
        <v>0</v>
      </c>
      <c r="AD22" s="136">
        <f t="shared" si="1"/>
        <v>0</v>
      </c>
    </row>
    <row r="23" spans="1:30" x14ac:dyDescent="0.35">
      <c r="A23" s="131"/>
      <c r="B23" s="132"/>
      <c r="C23" s="22" t="str">
        <f t="shared" si="11"/>
        <v>SMI Dbl</v>
      </c>
      <c r="D23" s="11">
        <f t="shared" si="12"/>
        <v>86.4</v>
      </c>
      <c r="E23" s="11">
        <f t="shared" si="13"/>
        <v>14.688000000000002</v>
      </c>
      <c r="F23" s="142"/>
      <c r="G23" s="19">
        <f>IF(G18+G19+G20+G21+G22=F18,0,IF('Period GHE data'!D10-(G11+G17)&lt;'Charging GHE Spilt per grade'!F18-(G18+G19+G20+G21+G22),'Period GHE data'!D10-(G11+G17),'Charging GHE Spilt per grade'!F18-('Charging GHE Spilt per grade'!G18+G19+G20+G21+G22)))</f>
        <v>0</v>
      </c>
      <c r="H23" s="135"/>
      <c r="I23" s="19">
        <f>IF(I18+I19+I20+I21+I22=H18,0,IF('Period GHE data'!E10-(I11+I17)&lt;'Charging GHE Spilt per grade'!H18-(I18+I19+I20+I21+I22),'Period GHE data'!E10-(I11+I17),'Charging GHE Spilt per grade'!H18-('Charging GHE Spilt per grade'!I18+I19+I20+I21+I22)))</f>
        <v>0</v>
      </c>
      <c r="J23" s="135"/>
      <c r="K23" s="141">
        <f>IF(K18+K19+K20+K21+K22=J18,0,IF('Period GHE data'!F10-K11-K17&lt;'Charging GHE Spilt per grade'!J18-(K18+K19+K20+K21+K22),'Period GHE data'!F10-K11-K17,'Charging GHE Spilt per grade'!J18-('Charging GHE Spilt per grade'!K18+K19+K20+K21+K22)))</f>
        <v>0</v>
      </c>
      <c r="L23" s="135"/>
      <c r="M23" s="141">
        <f>IF(M18+M19+M20+M21+M22=L18,0,IF('Period GHE data'!G10-M11-M17&lt;'Charging GHE Spilt per grade'!L18-(M18+M19+M20+M21+M22),'Period GHE data'!G10-M11-M17,'Charging GHE Spilt per grade'!L18-('Charging GHE Spilt per grade'!M18+M19+M20+M21+M22)))</f>
        <v>0</v>
      </c>
      <c r="N23" s="135"/>
      <c r="O23" s="141">
        <f>IF(O18+O19+O20+O21+O22=N18,0,IF('Period GHE data'!H10-O11-O17&lt;'Charging GHE Spilt per grade'!N18-(O18+O19+O20+O21+O22),'Period GHE data'!H10-O11-O17,'Charging GHE Spilt per grade'!N18-('Charging GHE Spilt per grade'!O18+O19+O20+O21+O22)))</f>
        <v>0</v>
      </c>
      <c r="P23" s="135"/>
      <c r="Q23" s="141">
        <f>IF(Q18+Q19+Q20+Q21+Q22=P18,0,IF('Period GHE data'!I10-Q11-Q17&lt;'Charging GHE Spilt per grade'!P18-(Q18+Q19+Q20+Q21+Q22),'Period GHE data'!I10-Q11-Q17,'Charging GHE Spilt per grade'!P18-('Charging GHE Spilt per grade'!Q18+Q19+Q20+Q21+Q22)))</f>
        <v>0</v>
      </c>
      <c r="R23" s="135"/>
      <c r="S23" s="141">
        <f>IF(S18+S19+S20+S21+S22=R18,0,IF('Period GHE data'!J10-S11-S17&lt;'Charging GHE Spilt per grade'!R18-(S18+S19+S20+S21+S22),'Period GHE data'!J10-S11-S17,'Charging GHE Spilt per grade'!R18-('Charging GHE Spilt per grade'!S18+S19+S20+S21+S22)))</f>
        <v>0</v>
      </c>
      <c r="T23" s="135"/>
      <c r="U23" s="141">
        <f>IF(U18+U19+U20+U21+U22=T18,0,IF('Period GHE data'!K10-U11-U17&lt;'Charging GHE Spilt per grade'!T18-(U18+U19+U20+U21+U22),'Period GHE data'!K10-U11-U17,'Charging GHE Spilt per grade'!T18-('Charging GHE Spilt per grade'!U18+U19+U20+U21+U22)))</f>
        <v>0</v>
      </c>
      <c r="V23" s="135"/>
      <c r="W23" s="141">
        <f>IF(W18+W19+W20+W21+W22=V18,0,IF('Period GHE data'!L10-W11-W17&lt;'Charging GHE Spilt per grade'!V18-(W18+W19+W20+W21+W22),'Period GHE data'!L10-W11-W17,'Charging GHE Spilt per grade'!V18-('Charging GHE Spilt per grade'!W18+W19+W20+W21+W22)))</f>
        <v>0</v>
      </c>
      <c r="X23" s="135"/>
      <c r="Y23" s="141">
        <f>IF(Y18+Y19+Y20+Y21+Y22=X18,0,IF('Period GHE data'!M10-Y11-Y17&lt;'Charging GHE Spilt per grade'!X18-(Y18+Y19+Y20+Y21+Y22),'Period GHE data'!M10-Y11-Y17,'Charging GHE Spilt per grade'!X18-('Charging GHE Spilt per grade'!Y18+Y19+Y20+Y21+Y22)))</f>
        <v>0</v>
      </c>
      <c r="Z23" s="135"/>
      <c r="AA23" s="141">
        <f>IF(AA18+AA19+AA20+AA21+AA22=Z18,0,IF('Period GHE data'!N10-AA11-AA17&lt;'Charging GHE Spilt per grade'!Z18-(AA18+AA19+AA20+AA21+AA22),'Period GHE data'!N10-AA11-AA17,'Charging GHE Spilt per grade'!Z18-('Charging GHE Spilt per grade'!AA18+AA19+AA20+AA21+AA22)))</f>
        <v>0</v>
      </c>
      <c r="AB23" s="135"/>
      <c r="AC23" s="141">
        <f>IF(AC18+AC19+AC20+AC21+AC22=AB18,0,IF('Period GHE data'!O10-AC11-AC17&lt;'Charging GHE Spilt per grade'!AB18-(AC18+AC19+AC20+AC21+AC22),'Period GHE data'!O10-AC11-AC17,'Charging GHE Spilt per grade'!AB18-('Charging GHE Spilt per grade'!AC18+AC19+AC20+AC21+AC22)))</f>
        <v>0</v>
      </c>
      <c r="AD23" s="136">
        <f t="shared" si="1"/>
        <v>0</v>
      </c>
    </row>
    <row r="24" spans="1:30" x14ac:dyDescent="0.35">
      <c r="A24" s="131">
        <v>4</v>
      </c>
      <c r="B24" s="132">
        <f>'Annual data (rates, Bands, disc'!E6</f>
        <v>0.06</v>
      </c>
      <c r="C24" s="22" t="str">
        <f t="shared" ref="C24:C29" si="14">C6</f>
        <v>OV Single</v>
      </c>
      <c r="D24" s="11">
        <f t="shared" si="12"/>
        <v>65.900000000000006</v>
      </c>
      <c r="E24" s="11">
        <f>D24*$B$24</f>
        <v>3.9540000000000002</v>
      </c>
      <c r="F24" s="133">
        <f>'Annual data (rates, Bands, disc'!J6/12</f>
        <v>375.5</v>
      </c>
      <c r="G24" s="134">
        <f>IF('Period GHE data'!D5-('Charging GHE Spilt per grade'!G6+G12+G18)&lt;0,0,IF('Period GHE data'!D5-('Charging GHE Spilt per grade'!G6+G12+G18)&gt;'Charging GHE Spilt per grade'!F24,'Charging GHE Spilt per grade'!F24,'Period GHE data'!D5-('Charging GHE Spilt per grade'!G6+G12+G18)))</f>
        <v>0</v>
      </c>
      <c r="H24" s="135">
        <f>(F24-(G24+G25+G26+G27+G28+G29))+F24</f>
        <v>751</v>
      </c>
      <c r="I24" s="134">
        <f>IF('Period GHE data'!E5-('Charging GHE Spilt per grade'!I6+I12+I18)&lt;0,0,IF('Period GHE data'!E5-('Charging GHE Spilt per grade'!I6+I12+I18)&gt;'Charging GHE Spilt per grade'!H24,'Charging GHE Spilt per grade'!H24,'Period GHE data'!E5-('Charging GHE Spilt per grade'!I6+I12+I18)))</f>
        <v>0</v>
      </c>
      <c r="J24" s="135">
        <f>(H24-(I24+I25+I26+I27+I28+I29))+F24</f>
        <v>1126.5</v>
      </c>
      <c r="K24" s="134">
        <f>IF('Period GHE data'!F5-('Charging GHE Spilt per grade'!K6+K12+K18)&lt;0,0,IF('Period GHE data'!F5-('Charging GHE Spilt per grade'!K6+K12+K18)&gt;'Charging GHE Spilt per grade'!J24,'Charging GHE Spilt per grade'!J24,'Period GHE data'!F5-('Charging GHE Spilt per grade'!K6+K12+K18)))</f>
        <v>0</v>
      </c>
      <c r="L24" s="135">
        <f>(J24-(K24+K25+K26+K27+K28+K29))+F24</f>
        <v>1502</v>
      </c>
      <c r="M24" s="134">
        <f>IF('Period GHE data'!G5-('Charging GHE Spilt per grade'!M6+M12+M18)&lt;0,0,IF('Period GHE data'!G5-('Charging GHE Spilt per grade'!M6+M12+M18)&gt;'Charging GHE Spilt per grade'!L24,'Charging GHE Spilt per grade'!L24,'Period GHE data'!G5-('Charging GHE Spilt per grade'!M6+M12+M18)))</f>
        <v>0</v>
      </c>
      <c r="N24" s="135">
        <f t="shared" ref="N24" si="15">(L24-(M24+M25+M26+M27+M28+M29))+F24</f>
        <v>1877.5</v>
      </c>
      <c r="O24" s="134">
        <f>IF('Period GHE data'!H5-('Charging GHE Spilt per grade'!O6+O12+O18)&lt;0,0,IF('Period GHE data'!H5-('Charging GHE Spilt per grade'!O6+O12+O18)&gt;'Charging GHE Spilt per grade'!N24,'Charging GHE Spilt per grade'!N24,'Period GHE data'!H5-('Charging GHE Spilt per grade'!O6+O12+O18)))</f>
        <v>0</v>
      </c>
      <c r="P24" s="135">
        <f t="shared" si="3"/>
        <v>2253</v>
      </c>
      <c r="Q24" s="134">
        <f>IF('Period GHE data'!I5-('Charging GHE Spilt per grade'!Q6+Q12+Q18)&lt;0,0,IF('Period GHE data'!I5-('Charging GHE Spilt per grade'!Q6+Q12+Q18)&gt;'Charging GHE Spilt per grade'!P24,'Charging GHE Spilt per grade'!P24,'Period GHE data'!I5-('Charging GHE Spilt per grade'!Q6+Q12+Q18)))</f>
        <v>0</v>
      </c>
      <c r="R24" s="135">
        <f t="shared" si="4"/>
        <v>2628.5</v>
      </c>
      <c r="S24" s="134">
        <f>IF('Period GHE data'!J5-('Charging GHE Spilt per grade'!S6+S12+S18)&lt;0,0,IF('Period GHE data'!J5-('Charging GHE Spilt per grade'!S6+S12+S18)&gt;'Charging GHE Spilt per grade'!R24,'Charging GHE Spilt per grade'!R24,'Period GHE data'!J5-('Charging GHE Spilt per grade'!S6+S12+S18)))</f>
        <v>0</v>
      </c>
      <c r="T24" s="135">
        <f t="shared" si="5"/>
        <v>3004</v>
      </c>
      <c r="U24" s="134">
        <f>IF('Period GHE data'!K5-('Charging GHE Spilt per grade'!U6+U12+U18)&lt;0,0,IF('Period GHE data'!K5-('Charging GHE Spilt per grade'!U6+U12+U18)&gt;'Charging GHE Spilt per grade'!T24,'Charging GHE Spilt per grade'!T24,'Period GHE data'!K5-('Charging GHE Spilt per grade'!U6+U12+U18)))</f>
        <v>0</v>
      </c>
      <c r="V24" s="135">
        <f t="shared" si="6"/>
        <v>3379.5</v>
      </c>
      <c r="W24" s="134">
        <f>IF('Period GHE data'!L5-('Charging GHE Spilt per grade'!W6+W12+W18)&lt;0,0,IF('Period GHE data'!L5-('Charging GHE Spilt per grade'!W6+W12+W18)&gt;'Charging GHE Spilt per grade'!V24,'Charging GHE Spilt per grade'!V24,'Period GHE data'!L5-('Charging GHE Spilt per grade'!W6+W12+W18)))</f>
        <v>0</v>
      </c>
      <c r="X24" s="135">
        <f t="shared" si="7"/>
        <v>3755</v>
      </c>
      <c r="Y24" s="134">
        <f>IF('Period GHE data'!M5-('Charging GHE Spilt per grade'!Y6+Y12+Y18)&lt;0,0,IF('Period GHE data'!M5-('Charging GHE Spilt per grade'!Y6+Y12+Y18)&gt;'Charging GHE Spilt per grade'!X24,'Charging GHE Spilt per grade'!X24,'Period GHE data'!M5-('Charging GHE Spilt per grade'!Y6+Y12+Y18)))</f>
        <v>0</v>
      </c>
      <c r="Z24" s="135">
        <f t="shared" si="8"/>
        <v>4130.5</v>
      </c>
      <c r="AA24" s="134">
        <f>IF('Period GHE data'!N5-('Charging GHE Spilt per grade'!AA6+AA12+AA18)&lt;0,0,IF('Period GHE data'!N5-('Charging GHE Spilt per grade'!AA6+AA12+AA18)&gt;'Charging GHE Spilt per grade'!Z24,'Charging GHE Spilt per grade'!Z24,'Period GHE data'!N5-('Charging GHE Spilt per grade'!AA6+AA12+AA18)))</f>
        <v>0</v>
      </c>
      <c r="AB24" s="135">
        <f t="shared" si="9"/>
        <v>4506</v>
      </c>
      <c r="AC24" s="134">
        <f>IF('Period GHE data'!O5-('Charging GHE Spilt per grade'!AC6+AC12+AC18)&lt;0,0,IF('Period GHE data'!O5-('Charging GHE Spilt per grade'!AC6+AC12+AC18)&gt;'Charging GHE Spilt per grade'!AB24,'Charging GHE Spilt per grade'!AB24,'Period GHE data'!O5-('Charging GHE Spilt per grade'!AC6+AC12+AC18)))</f>
        <v>0</v>
      </c>
      <c r="AD24" s="136">
        <f t="shared" si="1"/>
        <v>0</v>
      </c>
    </row>
    <row r="25" spans="1:30" x14ac:dyDescent="0.35">
      <c r="A25" s="131"/>
      <c r="B25" s="132"/>
      <c r="C25" s="22" t="str">
        <f t="shared" si="14"/>
        <v>OV 1.5</v>
      </c>
      <c r="D25" s="11">
        <f t="shared" si="12"/>
        <v>98.850000000000009</v>
      </c>
      <c r="E25" s="11">
        <f t="shared" ref="E25:E29" si="16">D25*$B$24</f>
        <v>5.931</v>
      </c>
      <c r="F25" s="135"/>
      <c r="G25" s="137">
        <f>IF(G24=F24,0,IF('Period GHE data'!D6-G19-G13-G7&lt;'Charging GHE Spilt per grade'!F24-G24,'Period GHE data'!D6-G19-G13-G7,'Charging GHE Spilt per grade'!F24-'Charging GHE Spilt per grade'!G24))</f>
        <v>0</v>
      </c>
      <c r="H25" s="135"/>
      <c r="I25" s="137">
        <f>IF(I24=H24,0,IF('Period GHE data'!E6-I19-I13-I7&lt;'Charging GHE Spilt per grade'!H24-I24,'Period GHE data'!E6-I19-I13-I7,'Charging GHE Spilt per grade'!H24-'Charging GHE Spilt per grade'!I24))</f>
        <v>0</v>
      </c>
      <c r="J25" s="135"/>
      <c r="K25" s="137">
        <f>IF(K24=J24,0,IF('Period GHE data'!F6-K19-K13-K7&lt;'Charging GHE Spilt per grade'!J24-K24,'Period GHE data'!F6-K19-K13-K7,'Charging GHE Spilt per grade'!J24-'Charging GHE Spilt per grade'!K24))</f>
        <v>0</v>
      </c>
      <c r="L25" s="135"/>
      <c r="M25" s="137">
        <f>IF(M24=L24,0,IF('Period GHE data'!G6-M19-M13-M7&lt;'Charging GHE Spilt per grade'!L24-M24,'Period GHE data'!G6-M19-M13-M7,'Charging GHE Spilt per grade'!L24-'Charging GHE Spilt per grade'!M24))</f>
        <v>0</v>
      </c>
      <c r="N25" s="135"/>
      <c r="O25" s="137">
        <f>IF(O24=N24,0,IF('Period GHE data'!H6-O19-O13-O7&lt;'Charging GHE Spilt per grade'!N24-O24,'Period GHE data'!H6-O19-O13-O7,'Charging GHE Spilt per grade'!N24-'Charging GHE Spilt per grade'!O24))</f>
        <v>0</v>
      </c>
      <c r="P25" s="135"/>
      <c r="Q25" s="137">
        <f>IF(Q24=P24,0,IF('Period GHE data'!I6-Q19-Q13-Q7&lt;'Charging GHE Spilt per grade'!P24-Q24,'Period GHE data'!I6-Q19-Q13-Q7,'Charging GHE Spilt per grade'!P24-'Charging GHE Spilt per grade'!Q24))</f>
        <v>0</v>
      </c>
      <c r="R25" s="135"/>
      <c r="S25" s="137">
        <f>IF(S24=R24,0,IF('Period GHE data'!J6-S19-S13-S7&lt;'Charging GHE Spilt per grade'!R24-S24,'Period GHE data'!J6-S19-S13-S7,'Charging GHE Spilt per grade'!R24-'Charging GHE Spilt per grade'!S24))</f>
        <v>0</v>
      </c>
      <c r="T25" s="135"/>
      <c r="U25" s="137">
        <f>IF(U24=T24,0,IF('Period GHE data'!K6-U19-U13-U7&lt;'Charging GHE Spilt per grade'!T24-U24,'Period GHE data'!K6-U19-U13-U7,'Charging GHE Spilt per grade'!T24-'Charging GHE Spilt per grade'!U24))</f>
        <v>0</v>
      </c>
      <c r="V25" s="135"/>
      <c r="W25" s="137">
        <f>IF(W24=V24,0,IF('Period GHE data'!L6-W19-W13-W7&lt;'Charging GHE Spilt per grade'!V24-W24,'Period GHE data'!L6-W19-W13-W7,'Charging GHE Spilt per grade'!V24-'Charging GHE Spilt per grade'!W24))</f>
        <v>0</v>
      </c>
      <c r="X25" s="135"/>
      <c r="Y25" s="137">
        <f>IF(Y24=X24,0,IF('Period GHE data'!M6-Y19-Y13-Y7&lt;'Charging GHE Spilt per grade'!X24-Y24,'Period GHE data'!M6-Y19-Y13-Y7,'Charging GHE Spilt per grade'!X24-'Charging GHE Spilt per grade'!Y24))</f>
        <v>0</v>
      </c>
      <c r="Z25" s="135"/>
      <c r="AA25" s="137">
        <f>IF(AA24=Z24,0,IF('Period GHE data'!N6-AA19-AA13-AA7&lt;'Charging GHE Spilt per grade'!Z24-AA24,'Period GHE data'!N6-AA19-AA13-AA7,'Charging GHE Spilt per grade'!Z24-'Charging GHE Spilt per grade'!AA24))</f>
        <v>0</v>
      </c>
      <c r="AB25" s="135"/>
      <c r="AC25" s="137">
        <f>IF(AC24=AB24,0,IF('Period GHE data'!O6-AC19-AC13-AC7&lt;'Charging GHE Spilt per grade'!AB24-AC24,'Period GHE data'!O6-AC19-AC13-AC7,'Charging GHE Spilt per grade'!AB24-'Charging GHE Spilt per grade'!AC24))</f>
        <v>0</v>
      </c>
      <c r="AD25" s="136">
        <f t="shared" si="1"/>
        <v>0</v>
      </c>
    </row>
    <row r="26" spans="1:30" x14ac:dyDescent="0.35">
      <c r="A26" s="131"/>
      <c r="B26" s="132"/>
      <c r="C26" s="22" t="str">
        <f t="shared" si="14"/>
        <v>OV Dbl</v>
      </c>
      <c r="D26" s="11">
        <f t="shared" si="12"/>
        <v>131.80000000000001</v>
      </c>
      <c r="E26" s="11">
        <f t="shared" si="16"/>
        <v>7.9080000000000004</v>
      </c>
      <c r="F26" s="135"/>
      <c r="G26" s="138">
        <f>IF(G24+G25=F24,0,IF('Period GHE data'!D7-G8-G14-G20&lt;'Charging GHE Spilt per grade'!F24-(G24+G25),'Period GHE data'!D7-G8-G14-G20,'Charging GHE Spilt per grade'!F24-('Charging GHE Spilt per grade'!G24+G25)))</f>
        <v>0</v>
      </c>
      <c r="H26" s="135"/>
      <c r="I26" s="138">
        <f>IF(I24+I25=H24,0,IF('Period GHE data'!E7-I8-I14-I20&lt;'Charging GHE Spilt per grade'!H24-(I24+I25),'Period GHE data'!E7-I8-I14-I20,'Charging GHE Spilt per grade'!H24-('Charging GHE Spilt per grade'!I24+I25)))</f>
        <v>0</v>
      </c>
      <c r="J26" s="135"/>
      <c r="K26" s="138">
        <f>IF(K24+K25=J24,0,IF('Period GHE data'!F7-K8-K14-K20&lt;'Charging GHE Spilt per grade'!J24-(K24+K25),'Period GHE data'!F7-K8-K14-K20,'Charging GHE Spilt per grade'!J24-('Charging GHE Spilt per grade'!K24+K25)))</f>
        <v>0</v>
      </c>
      <c r="L26" s="135"/>
      <c r="M26" s="138">
        <f>IF(M24+M25=L24,0,IF('Period GHE data'!G7-M8-M14-M20&lt;'Charging GHE Spilt per grade'!L24-(M24+M25),'Period GHE data'!G7-M8-M14-M20,'Charging GHE Spilt per grade'!L24-('Charging GHE Spilt per grade'!M24+M25)))</f>
        <v>0</v>
      </c>
      <c r="N26" s="135"/>
      <c r="O26" s="138">
        <f>IF(O24+O25=N24,0,IF('Period GHE data'!H7-O8-O14-O20&lt;'Charging GHE Spilt per grade'!N24-(O24+O25),'Period GHE data'!H7-O8-O14-O20,'Charging GHE Spilt per grade'!N24-('Charging GHE Spilt per grade'!O24+O25)))</f>
        <v>0</v>
      </c>
      <c r="P26" s="135"/>
      <c r="Q26" s="138">
        <f>IF(Q24+Q25=P24,0,IF('Period GHE data'!I7-Q8-Q14-Q20&lt;'Charging GHE Spilt per grade'!P24-(Q24+Q25),'Period GHE data'!I7-Q8-Q14-Q20,'Charging GHE Spilt per grade'!P24-('Charging GHE Spilt per grade'!Q24+Q25)))</f>
        <v>0</v>
      </c>
      <c r="R26" s="135"/>
      <c r="S26" s="138">
        <f>IF(S24+S25=R24,0,IF('Period GHE data'!J7-S8-S14-S20&lt;'Charging GHE Spilt per grade'!R24-(S24+S25),'Period GHE data'!J7-S8-S14-S20,'Charging GHE Spilt per grade'!R24-('Charging GHE Spilt per grade'!S24+S25)))</f>
        <v>0</v>
      </c>
      <c r="T26" s="135"/>
      <c r="U26" s="138">
        <f>IF(U24+U25=T24,0,IF('Period GHE data'!K7-U8-U14-U20&lt;'Charging GHE Spilt per grade'!T24-(U24+U25),'Period GHE data'!K7-U8-U14-U20,'Charging GHE Spilt per grade'!T24-('Charging GHE Spilt per grade'!U24+U25)))</f>
        <v>0</v>
      </c>
      <c r="V26" s="135"/>
      <c r="W26" s="138">
        <f>IF(W24+W25=V24,0,IF('Period GHE data'!L7-W8-W14-W20&lt;'Charging GHE Spilt per grade'!V24-(W24+W25),'Period GHE data'!L7-W8-W14-W20,'Charging GHE Spilt per grade'!V24-('Charging GHE Spilt per grade'!W24+W25)))</f>
        <v>0</v>
      </c>
      <c r="X26" s="135"/>
      <c r="Y26" s="138">
        <f>IF(Y24+Y25=X24,0,IF('Period GHE data'!M7-Y8-Y14-Y20&lt;'Charging GHE Spilt per grade'!X24-(Y24+Y25),'Period GHE data'!M7-Y8-Y14-Y20,'Charging GHE Spilt per grade'!X24-('Charging GHE Spilt per grade'!Y24+Y25)))</f>
        <v>0</v>
      </c>
      <c r="Z26" s="135"/>
      <c r="AA26" s="138">
        <f>IF(AA24+AA25=Z24,0,IF('Period GHE data'!N7-AA8-AA14-AA20&lt;'Charging GHE Spilt per grade'!Z24-(AA24+AA25),'Period GHE data'!N7-AA8-AA14-AA20,'Charging GHE Spilt per grade'!Z24-('Charging GHE Spilt per grade'!AA24+AA25)))</f>
        <v>0</v>
      </c>
      <c r="AB26" s="135"/>
      <c r="AC26" s="138">
        <f>IF(AC24+AC25=AB24,0,IF('Period GHE data'!O7-AC8-AC14-AC20&lt;'Charging GHE Spilt per grade'!AB24-(AC24+AC25),'Period GHE data'!O7-AC8-AC14-AC20,'Charging GHE Spilt per grade'!AB24-('Charging GHE Spilt per grade'!AC24+AC25)))</f>
        <v>0</v>
      </c>
      <c r="AD26" s="136">
        <f t="shared" si="1"/>
        <v>0</v>
      </c>
    </row>
    <row r="27" spans="1:30" x14ac:dyDescent="0.35">
      <c r="A27" s="131"/>
      <c r="B27" s="132"/>
      <c r="C27" s="22" t="str">
        <f t="shared" si="14"/>
        <v>SMI Single</v>
      </c>
      <c r="D27" s="11">
        <f t="shared" si="12"/>
        <v>43.2</v>
      </c>
      <c r="E27" s="11">
        <f t="shared" si="16"/>
        <v>2.5920000000000001</v>
      </c>
      <c r="F27" s="135"/>
      <c r="G27" s="139">
        <f>IF(G24+G25+G26=F24,0,IF('Period GHE data'!D8-(G9+G15+G21)&lt;'Charging GHE Spilt per grade'!F24-(G24+G25+G26),'Period GHE data'!D8-(G9+G15+G21),'Charging GHE Spilt per grade'!F24-'Charging GHE Spilt per grade'!G24+G25+G26))</f>
        <v>0</v>
      </c>
      <c r="H27" s="135"/>
      <c r="I27" s="139">
        <f>IF(I24+I25+I26=H24,0,IF('Period GHE data'!E8-(I9+I15+I21)&lt;'Charging GHE Spilt per grade'!H24-(I24+I25+I26),'Period GHE data'!E8-(I9+I15+I21),'Charging GHE Spilt per grade'!H24-'Charging GHE Spilt per grade'!I24+I25+I26))</f>
        <v>0</v>
      </c>
      <c r="J27" s="135"/>
      <c r="K27" s="139">
        <f>IF(K24+K25+K26=J24,0,IF('Period GHE data'!F8-K9-K15-K21&lt;'Charging GHE Spilt per grade'!J24-(K24+K25+K26),'Period GHE data'!F8-K9-K15-K21,'Charging GHE Spilt per grade'!J24-('Charging GHE Spilt per grade'!K24+K25+K26)))</f>
        <v>0</v>
      </c>
      <c r="L27" s="135"/>
      <c r="M27" s="139">
        <f>IF(M24+M25+M26=L24,0,IF('Period GHE data'!G8-M9-M15-M21&lt;'Charging GHE Spilt per grade'!L24-(M24+M25+M26),'Period GHE data'!G8-M9-M15-M21,'Charging GHE Spilt per grade'!L24-('Charging GHE Spilt per grade'!M24+M25+M26)))</f>
        <v>0</v>
      </c>
      <c r="N27" s="135"/>
      <c r="O27" s="139">
        <f>IF(O24+O25+O26=N24,0,IF('Period GHE data'!H8-O9-O15-O21&lt;'Charging GHE Spilt per grade'!N24-(O24+O25+O26),'Period GHE data'!H8-O9-O15-O21,'Charging GHE Spilt per grade'!N24-('Charging GHE Spilt per grade'!O24+O25+O26)))</f>
        <v>0</v>
      </c>
      <c r="P27" s="135"/>
      <c r="Q27" s="139">
        <f>IF(Q24+Q25+Q26=P24,0,IF('Period GHE data'!I8-Q9-Q15-Q21&lt;'Charging GHE Spilt per grade'!P24-(Q24+Q25+Q26),'Period GHE data'!I8-Q9-Q15-Q21,'Charging GHE Spilt per grade'!P24-('Charging GHE Spilt per grade'!Q24+Q25+Q26)))</f>
        <v>0</v>
      </c>
      <c r="R27" s="135"/>
      <c r="S27" s="139">
        <f>IF(S24+S25+S26=R24,0,IF('Period GHE data'!J8-S9-S15-S21&lt;'Charging GHE Spilt per grade'!R24-(S24+S25+S26),'Period GHE data'!J8-S9-S15-S21,'Charging GHE Spilt per grade'!R24-('Charging GHE Spilt per grade'!S24+S25+S26)))</f>
        <v>0</v>
      </c>
      <c r="T27" s="135"/>
      <c r="U27" s="139">
        <f>IF(U24+U25+U26=T24,0,IF('Period GHE data'!K8-U9-U15-U21&lt;'Charging GHE Spilt per grade'!T24-(U24+U25+U26),'Period GHE data'!K8-U9-U15-U21,'Charging GHE Spilt per grade'!T24-('Charging GHE Spilt per grade'!U24+U25+U26)))</f>
        <v>0</v>
      </c>
      <c r="V27" s="135"/>
      <c r="W27" s="139">
        <f>IF(W24+W25+W26=V24,0,IF('Period GHE data'!L8-W9-W15-W21&lt;'Charging GHE Spilt per grade'!V24-(W24+W25+W26),'Period GHE data'!L8-W9-W15-W21,'Charging GHE Spilt per grade'!V24-('Charging GHE Spilt per grade'!W24+W25+W26)))</f>
        <v>0</v>
      </c>
      <c r="X27" s="135"/>
      <c r="Y27" s="139">
        <f>IF(Y24+Y25+Y26=X24,0,IF('Period GHE data'!M8-Y9-Y15-Y21&lt;'Charging GHE Spilt per grade'!X24-(Y24+Y25+Y26),'Period GHE data'!M8-Y9-Y15-Y21,'Charging GHE Spilt per grade'!X24-('Charging GHE Spilt per grade'!Y24+Y25+Y26)))</f>
        <v>0</v>
      </c>
      <c r="Z27" s="135"/>
      <c r="AA27" s="139">
        <f>IF(AA24+AA25+AA26=Z24,0,IF('Period GHE data'!N8-AA9-AA15-AA21&lt;'Charging GHE Spilt per grade'!Z24-(AA24+AA25+AA26),'Period GHE data'!N8-AA9-AA15-AA21,'Charging GHE Spilt per grade'!Z24-('Charging GHE Spilt per grade'!AA24+AA25+AA26)))</f>
        <v>0</v>
      </c>
      <c r="AB27" s="135"/>
      <c r="AC27" s="139">
        <f>IF(AC24+AC25+AC26=AB24,0,IF('Period GHE data'!O8-AC9-AC15-AC21&lt;'Charging GHE Spilt per grade'!AB24-(AC24+AC25+AC26),'Period GHE data'!O8-AC9-AC15-AC21,'Charging GHE Spilt per grade'!AB24-('Charging GHE Spilt per grade'!AC24+AC25+AC26)))</f>
        <v>0</v>
      </c>
      <c r="AD27" s="136">
        <f t="shared" si="1"/>
        <v>0</v>
      </c>
    </row>
    <row r="28" spans="1:30" x14ac:dyDescent="0.35">
      <c r="A28" s="131"/>
      <c r="B28" s="132"/>
      <c r="C28" s="22" t="str">
        <f t="shared" si="14"/>
        <v>SMI 1.5</v>
      </c>
      <c r="D28" s="11">
        <f t="shared" si="12"/>
        <v>64.800000000000011</v>
      </c>
      <c r="E28" s="11">
        <f t="shared" si="16"/>
        <v>3.8880000000000003</v>
      </c>
      <c r="F28" s="135"/>
      <c r="G28" s="140">
        <f>IF(G24+G25+G26+G27=F24,0,IF('Period GHE data'!D9-G10-G16-G22&lt;'Charging GHE Spilt per grade'!F24-(G24+G25+G26+G27),'Period GHE data'!D9-G10-G16-G22,'Charging GHE Spilt per grade'!F24-('Charging GHE Spilt per grade'!G24+G25+G26+G27)))</f>
        <v>0</v>
      </c>
      <c r="H28" s="135"/>
      <c r="I28" s="140">
        <f>IF(I24+I25+I26+I27=H24,0,IF('Period GHE data'!E9-I10-I16-I22&lt;'Charging GHE Spilt per grade'!H24-(I24+I25+I26+I27),'Period GHE data'!E9-I10-I16-I22,'Charging GHE Spilt per grade'!H24-('Charging GHE Spilt per grade'!I24+I25+I26+I27)))</f>
        <v>0</v>
      </c>
      <c r="J28" s="135"/>
      <c r="K28" s="140">
        <f>IF(K24+K25+K26+K27=J24,0,IF('Period GHE data'!F9-K10-K16-K22&lt;'Charging GHE Spilt per grade'!J24-(K24+K25+K26+K27),'Period GHE data'!F9-K10-K16-K22,'Charging GHE Spilt per grade'!J24-('Charging GHE Spilt per grade'!K24+K25+K26+K27)))</f>
        <v>0</v>
      </c>
      <c r="L28" s="135"/>
      <c r="M28" s="140">
        <f>IF(M24+M25+M26+M27=L24,0,IF('Period GHE data'!G9-M10-M16-M22&lt;'Charging GHE Spilt per grade'!L24-(M24+M25+M26+M27),'Period GHE data'!G9-M10-M16-M22,'Charging GHE Spilt per grade'!L24-('Charging GHE Spilt per grade'!M24+M25+M26+M27)))</f>
        <v>0</v>
      </c>
      <c r="N28" s="135"/>
      <c r="O28" s="140">
        <f>IF(O24+O25+O26+O27=N24,0,IF('Period GHE data'!H9-O10-O16-O22&lt;'Charging GHE Spilt per grade'!N24-(O24+O25+O26+O27),'Period GHE data'!H9-O10-O16-O22,'Charging GHE Spilt per grade'!N24-('Charging GHE Spilt per grade'!O24+O25+O26+O27)))</f>
        <v>0</v>
      </c>
      <c r="P28" s="135"/>
      <c r="Q28" s="140">
        <f>IF(Q24+Q25+Q26+Q27=P24,0,IF('Period GHE data'!I9-Q10-Q16-Q22&lt;'Charging GHE Spilt per grade'!P24-(Q24+Q25+Q26+Q27),'Period GHE data'!I9-Q10-Q16-Q22,'Charging GHE Spilt per grade'!P24-('Charging GHE Spilt per grade'!Q24+Q25+Q26+Q27)))</f>
        <v>0</v>
      </c>
      <c r="R28" s="135"/>
      <c r="S28" s="140">
        <f>IF(S24+S25+S26+S27=R24,0,IF('Period GHE data'!J9-S10-S16-S22&lt;'Charging GHE Spilt per grade'!R24-(S24+S25+S26+S27),'Period GHE data'!J9-S10-S16-S22,'Charging GHE Spilt per grade'!R24-('Charging GHE Spilt per grade'!S24+S25+S26+S27)))</f>
        <v>0</v>
      </c>
      <c r="T28" s="135"/>
      <c r="U28" s="140">
        <f>IF(U24+U25+U26+U27=T24,0,IF('Period GHE data'!K9-U10-U16-U22&lt;'Charging GHE Spilt per grade'!T24-(U24+U25+U26+U27),'Period GHE data'!K9-U10-U16-U22,'Charging GHE Spilt per grade'!T24-('Charging GHE Spilt per grade'!U24+U25+U26+U27)))</f>
        <v>0</v>
      </c>
      <c r="V28" s="135"/>
      <c r="W28" s="140">
        <f>IF(W24+W25+W26+W27=V24,0,IF('Period GHE data'!L9-W10-W16-W22&lt;'Charging GHE Spilt per grade'!V24-(W24+W25+W26+W27),'Period GHE data'!L9-W10-W16-W22,'Charging GHE Spilt per grade'!V24-('Charging GHE Spilt per grade'!W24+W25+W26+W27)))</f>
        <v>0</v>
      </c>
      <c r="X28" s="135"/>
      <c r="Y28" s="140">
        <f>IF(Y24+Y25+Y26+Y27=X24,0,IF('Period GHE data'!M9-Y10-Y16-Y22&lt;'Charging GHE Spilt per grade'!X24-(Y24+Y25+Y26+Y27),'Period GHE data'!M9-Y10-Y16-Y22,'Charging GHE Spilt per grade'!X24-('Charging GHE Spilt per grade'!Y24+Y25+Y26+Y27)))</f>
        <v>0</v>
      </c>
      <c r="Z28" s="135"/>
      <c r="AA28" s="140">
        <f>IF(AA24+AA25+AA26+AA27=Z24,0,IF('Period GHE data'!N9-AA10-AA16-AA22&lt;'Charging GHE Spilt per grade'!Z24-(AA24+AA25+AA26+AA27),'Period GHE data'!N9-AA10-AA16-AA22,'Charging GHE Spilt per grade'!Z24-('Charging GHE Spilt per grade'!AA24+AA25+AA26+AA27)))</f>
        <v>0</v>
      </c>
      <c r="AB28" s="135"/>
      <c r="AC28" s="140">
        <f>IF(AC24+AC25+AC26+AC27=AB24,0,IF('Period GHE data'!O9-AC10-AC16-AC22&lt;'Charging GHE Spilt per grade'!AB24-(AC24+AC25+AC26+AC27),'Period GHE data'!O9-AC10-AC16-AC22,'Charging GHE Spilt per grade'!AB24-('Charging GHE Spilt per grade'!AC24+AC25+AC26+AC27)))</f>
        <v>0</v>
      </c>
      <c r="AD28" s="136">
        <f t="shared" si="1"/>
        <v>0</v>
      </c>
    </row>
    <row r="29" spans="1:30" x14ac:dyDescent="0.35">
      <c r="A29" s="131"/>
      <c r="B29" s="132"/>
      <c r="C29" s="22" t="str">
        <f t="shared" si="14"/>
        <v>SMI Dbl</v>
      </c>
      <c r="D29" s="11">
        <f t="shared" si="12"/>
        <v>86.4</v>
      </c>
      <c r="E29" s="11">
        <f t="shared" si="16"/>
        <v>5.1840000000000002</v>
      </c>
      <c r="F29" s="135"/>
      <c r="G29" s="141">
        <f>IF(G24+G25+G26+G27+G28=F24,0,IF('Period GHE data'!D10-G11-G17-G23&lt;'Charging GHE Spilt per grade'!F24-(G24+G25+G26+G27+G28),'Period GHE data'!D10-G11-G17-G23,'Charging GHE Spilt per grade'!F24-('Charging GHE Spilt per grade'!G24+G25+G26+G27+G28)))</f>
        <v>0</v>
      </c>
      <c r="H29" s="135"/>
      <c r="I29" s="141">
        <f>IF(I24+I25+I26+I27+I28=H24,0,IF('Period GHE data'!E10-I11-I17-I23&lt;'Charging GHE Spilt per grade'!H24-(I24+I25+I26+I27+I28),'Period GHE data'!E10-I11-I17-I23,'Charging GHE Spilt per grade'!H24-('Charging GHE Spilt per grade'!I24+I25+I26+I27+I28)))</f>
        <v>0</v>
      </c>
      <c r="J29" s="135"/>
      <c r="K29" s="141">
        <f>IF(K24+K25+K26+K27+K28=J24,0,IF('Period GHE data'!F10-K11-K17-K23&lt;'Charging GHE Spilt per grade'!J24-(K24+K25+K26+K27+K28),'Period GHE data'!F10-K11-K17-K23,'Charging GHE Spilt per grade'!J24-('Charging GHE Spilt per grade'!K24+K25+K26+K27+K28)))</f>
        <v>0</v>
      </c>
      <c r="L29" s="135"/>
      <c r="M29" s="141">
        <f>IF(M24+M25+M26+M27+M28=L24,0,IF('Period GHE data'!G10-M11-M17-M23&lt;'Charging GHE Spilt per grade'!L24-(M24+M25+M26+M27+M28),'Period GHE data'!G10-M11-M17-M23,'Charging GHE Spilt per grade'!L24-('Charging GHE Spilt per grade'!M24+M25+M26+M27+M28)))</f>
        <v>0</v>
      </c>
      <c r="N29" s="135"/>
      <c r="O29" s="141">
        <f>IF(O24+O25+O26+O27+O28=N24,0,IF('Period GHE data'!H10-O11-O17-O23&lt;'Charging GHE Spilt per grade'!N24-(O24+O25+O26+O27+O28),'Period GHE data'!H10-O11-O17-O23,'Charging GHE Spilt per grade'!N24-('Charging GHE Spilt per grade'!O24+O25+O26+O27+O28)))</f>
        <v>0</v>
      </c>
      <c r="P29" s="135"/>
      <c r="Q29" s="141">
        <f>IF(Q24+Q25+Q26+Q27+Q28=P24,0,IF('Period GHE data'!I10-Q11-Q17-Q23&lt;'Charging GHE Spilt per grade'!P24-(Q24+Q25+Q26+Q27+Q28),'Period GHE data'!I10-Q11-Q17-Q23,'Charging GHE Spilt per grade'!P24-('Charging GHE Spilt per grade'!Q24+Q25+Q26+Q27+Q28)))</f>
        <v>0</v>
      </c>
      <c r="R29" s="135"/>
      <c r="S29" s="141">
        <f>IF(S24+S25+S26+S27+S28=R24,0,IF('Period GHE data'!J10-S11-S17-S23&lt;'Charging GHE Spilt per grade'!R24-(S24+S25+S26+S27+S28),'Period GHE data'!J10-S11-S17-S23,'Charging GHE Spilt per grade'!R24-('Charging GHE Spilt per grade'!S24+S25+S26+S27+S28)))</f>
        <v>0</v>
      </c>
      <c r="T29" s="135"/>
      <c r="U29" s="141">
        <f>IF(U24+U25+U26+U27+U28=T24,0,IF('Period GHE data'!K10-U11-U17-U23&lt;'Charging GHE Spilt per grade'!T24-(U24+U25+U26+U27+U28),'Period GHE data'!K10-U11-U17-U23,'Charging GHE Spilt per grade'!T24-('Charging GHE Spilt per grade'!U24+U25+U26+U27+U28)))</f>
        <v>0</v>
      </c>
      <c r="V29" s="135"/>
      <c r="W29" s="141">
        <f>IF(W24+W25+W26+W27+W28=V24,0,IF('Period GHE data'!L10-W11-W17-W23&lt;'Charging GHE Spilt per grade'!V24-(W24+W25+W26+W27+W28),'Period GHE data'!L10-W11-W17-W23,'Charging GHE Spilt per grade'!V24-('Charging GHE Spilt per grade'!W24+W25+W26+W27+W28)))</f>
        <v>0</v>
      </c>
      <c r="X29" s="135"/>
      <c r="Y29" s="141">
        <f>IF(Y24+Y25+Y26+Y27+Y28=X24,0,IF('Period GHE data'!M10-Y11-Y17-Y23&lt;'Charging GHE Spilt per grade'!X24-(Y24+Y25+Y26+Y27+Y28),'Period GHE data'!M10-Y11-Y17-Y23,'Charging GHE Spilt per grade'!X24-('Charging GHE Spilt per grade'!Y24+Y25+Y26+Y27+Y28)))</f>
        <v>0</v>
      </c>
      <c r="Z29" s="135"/>
      <c r="AA29" s="141">
        <f>IF(AA24+AA25+AA26+AA27+AA28=Z24,0,IF('Period GHE data'!N10-AA11-AA17-AA23&lt;'Charging GHE Spilt per grade'!Z24-(AA24+AA25+AA26+AA27+AA28),'Period GHE data'!N10-AA11-AA17-AA23,'Charging GHE Spilt per grade'!Z24-('Charging GHE Spilt per grade'!AA24+AA25+AA26+AA27+AA28)))</f>
        <v>0</v>
      </c>
      <c r="AB29" s="135"/>
      <c r="AC29" s="141">
        <f>IF(AC24+AC25+AC26+AC27+AC28=AB24,0,IF('Period GHE data'!O10-AC11-AC17-AC23&lt;'Charging GHE Spilt per grade'!AB24-(AC24+AC25+AC26+AC27+AC28),'Period GHE data'!O10-AC11-AC17-AC23,'Charging GHE Spilt per grade'!AB24-('Charging GHE Spilt per grade'!AC24+AC25+AC26+AC27+AC28)))</f>
        <v>0</v>
      </c>
      <c r="AD29" s="136">
        <f t="shared" si="1"/>
        <v>0</v>
      </c>
    </row>
    <row r="30" spans="1:30" x14ac:dyDescent="0.35">
      <c r="A30" s="131">
        <v>5</v>
      </c>
      <c r="B30" s="132">
        <f>'Annual data (rates, Bands, disc'!E7</f>
        <v>0.04</v>
      </c>
      <c r="C30" s="22" t="str">
        <f t="shared" ref="C30:C35" si="17">C6</f>
        <v>OV Single</v>
      </c>
      <c r="D30" s="11">
        <f t="shared" si="12"/>
        <v>65.900000000000006</v>
      </c>
      <c r="E30" s="11">
        <f>D30*$B$30</f>
        <v>2.6360000000000001</v>
      </c>
      <c r="F30" s="133">
        <f>'Annual data (rates, Bands, disc'!J7/12</f>
        <v>673.75</v>
      </c>
      <c r="G30" s="134">
        <f>IF('Period GHE data'!D5-('Charging GHE Spilt per grade'!G6+G12+G18+G24)&lt;0,0,IF('Period GHE data'!D5-('Charging GHE Spilt per grade'!G6+G12+G18+G24)&gt;'Charging GHE Spilt per grade'!F30,'Charging GHE Spilt per grade'!F30,'Period GHE data'!D5-('Charging GHE Spilt per grade'!G6+G12+G18+G24)))</f>
        <v>0</v>
      </c>
      <c r="H30" s="135">
        <f>(F30-(G30+G31+G32+G33+G34+G35)+F30)</f>
        <v>1347.5</v>
      </c>
      <c r="I30" s="134">
        <f>IF('Period GHE data'!E5-('Charging GHE Spilt per grade'!I6+I12+I18+I24)&lt;0,0,IF('Period GHE data'!E5-('Charging GHE Spilt per grade'!I6+I12+I18+I24)&gt;'Charging GHE Spilt per grade'!H30,'Charging GHE Spilt per grade'!H30,'Period GHE data'!E5-('Charging GHE Spilt per grade'!I6+I12+I18+I24)))</f>
        <v>0</v>
      </c>
      <c r="J30" s="135">
        <f>(H30-(I30+I31+I32+I33+I34+I35))+F30</f>
        <v>2021.25</v>
      </c>
      <c r="K30" s="134">
        <f>IF('Period GHE data'!F5-('Charging GHE Spilt per grade'!K6+K12+K18+K24)&lt;0,0,IF('Period GHE data'!F5-('Charging GHE Spilt per grade'!K6+K12+K18+K24)&gt;'Charging GHE Spilt per grade'!J30,'Charging GHE Spilt per grade'!J30,'Period GHE data'!F5-('Charging GHE Spilt per grade'!K6+K12+K18+K24)))</f>
        <v>0</v>
      </c>
      <c r="L30" s="135">
        <f>(J30-(K30+K31+K32+K33+K34+K35))+F30</f>
        <v>2695</v>
      </c>
      <c r="M30" s="134">
        <f>IF('Period GHE data'!G5-('Charging GHE Spilt per grade'!M6+M12+M18+M24)&lt;0,0,IF('Period GHE data'!G5-('Charging GHE Spilt per grade'!M6+M12+M18+M24)&gt;'Charging GHE Spilt per grade'!L30,'Charging GHE Spilt per grade'!L30,'Period GHE data'!G5-('Charging GHE Spilt per grade'!M6+M12+M18+M24)))</f>
        <v>0</v>
      </c>
      <c r="N30" s="135">
        <f>(L30-(M30+M31+M32+M33+M34+M35))+F30</f>
        <v>3368.75</v>
      </c>
      <c r="O30" s="134">
        <f>IF('Period GHE data'!H5-('Charging GHE Spilt per grade'!O6+O12+O18+O24)&lt;0,0,IF('Period GHE data'!H5-('Charging GHE Spilt per grade'!O6+O12+O18+O24)&gt;'Charging GHE Spilt per grade'!N30,'Charging GHE Spilt per grade'!N30,'Period GHE data'!H5-('Charging GHE Spilt per grade'!O6+O12+O18+O24)))</f>
        <v>0</v>
      </c>
      <c r="P30" s="135">
        <f>(N30-(O30+O31+O32+O33+O34+O35))+F30</f>
        <v>4042.5</v>
      </c>
      <c r="Q30" s="134">
        <f>IF('Period GHE data'!I5-('Charging GHE Spilt per grade'!Q6+Q12+Q18+Q24)&lt;0,0,IF('Period GHE data'!I5-('Charging GHE Spilt per grade'!Q6+Q12+Q18+Q24)&gt;'Charging GHE Spilt per grade'!P30,'Charging GHE Spilt per grade'!P30,'Period GHE data'!I5-('Charging GHE Spilt per grade'!Q6+Q12+Q18+Q24)))</f>
        <v>0</v>
      </c>
      <c r="R30" s="135">
        <f t="shared" si="4"/>
        <v>4716.25</v>
      </c>
      <c r="S30" s="134">
        <f>IF('Period GHE data'!J5-('Charging GHE Spilt per grade'!S6+S12+S18+S24)&lt;0,0,IF('Period GHE data'!J5-('Charging GHE Spilt per grade'!S6+S12+S18+S24)&gt;'Charging GHE Spilt per grade'!R30,'Charging GHE Spilt per grade'!R30,'Period GHE data'!J5-('Charging GHE Spilt per grade'!S6+S12+S18+S24)))</f>
        <v>0</v>
      </c>
      <c r="T30" s="135">
        <f t="shared" si="5"/>
        <v>5390</v>
      </c>
      <c r="U30" s="134">
        <f>IF('Period GHE data'!K5-('Charging GHE Spilt per grade'!U6+U12+U18+U24)&lt;0,0,IF('Period GHE data'!K5-('Charging GHE Spilt per grade'!U6+U12+U18+U24)&gt;'Charging GHE Spilt per grade'!T30,'Charging GHE Spilt per grade'!T30,'Period GHE data'!K5-('Charging GHE Spilt per grade'!U6+U12+U18+U24)))</f>
        <v>0</v>
      </c>
      <c r="V30" s="135">
        <f t="shared" si="6"/>
        <v>6063.75</v>
      </c>
      <c r="W30" s="134">
        <f>IF('Period GHE data'!L5-('Charging GHE Spilt per grade'!W6+W12+W18+W24)&lt;0,0,IF('Period GHE data'!L5-('Charging GHE Spilt per grade'!W6+W12+W18+W24)&gt;'Charging GHE Spilt per grade'!V30,'Charging GHE Spilt per grade'!V30,'Period GHE data'!L5-('Charging GHE Spilt per grade'!W6+W12+W18+W24)))</f>
        <v>0</v>
      </c>
      <c r="X30" s="135">
        <f t="shared" si="7"/>
        <v>6737.5</v>
      </c>
      <c r="Y30" s="134">
        <f>IF('Period GHE data'!M5-('Charging GHE Spilt per grade'!Y6+Y12+Y18+Y24)&lt;0,0,IF('Period GHE data'!M5-('Charging GHE Spilt per grade'!Y6+Y12+Y18+Y24)&gt;'Charging GHE Spilt per grade'!X30,'Charging GHE Spilt per grade'!X30,'Period GHE data'!M5-('Charging GHE Spilt per grade'!Y6+Y12+Y18+Y24)))</f>
        <v>0</v>
      </c>
      <c r="Z30" s="135">
        <f t="shared" si="8"/>
        <v>7411.25</v>
      </c>
      <c r="AA30" s="134">
        <f>IF('Period GHE data'!N5-('Charging GHE Spilt per grade'!AA6+AA12+AA18+AA24)&lt;0,0,IF('Period GHE data'!N5-('Charging GHE Spilt per grade'!AA6+AA12+AA18+AA24)&gt;'Charging GHE Spilt per grade'!Z30,'Charging GHE Spilt per grade'!Z30,'Period GHE data'!N5-('Charging GHE Spilt per grade'!AA6+AA12+AA18+AA24)))</f>
        <v>0</v>
      </c>
      <c r="AB30" s="135">
        <f t="shared" si="9"/>
        <v>8085</v>
      </c>
      <c r="AC30" s="134">
        <f>IF('Period GHE data'!O5-('Charging GHE Spilt per grade'!AC6+AC12+AC18+AC24)&lt;0,0,IF('Period GHE data'!O5-('Charging GHE Spilt per grade'!AC6+AC12+AC18+AC24)&gt;'Charging GHE Spilt per grade'!AB30,'Charging GHE Spilt per grade'!AB30,'Period GHE data'!O5-('Charging GHE Spilt per grade'!AC6+AC12+AC18+AC24)))</f>
        <v>0</v>
      </c>
      <c r="AD30" s="136">
        <f t="shared" si="1"/>
        <v>0</v>
      </c>
    </row>
    <row r="31" spans="1:30" x14ac:dyDescent="0.35">
      <c r="A31" s="131"/>
      <c r="B31" s="132"/>
      <c r="C31" s="22" t="str">
        <f t="shared" si="17"/>
        <v>OV 1.5</v>
      </c>
      <c r="D31" s="11">
        <f t="shared" si="12"/>
        <v>98.850000000000009</v>
      </c>
      <c r="E31" s="11">
        <f t="shared" ref="E31:E35" si="18">D31*$B$30</f>
        <v>3.9540000000000006</v>
      </c>
      <c r="F31" s="142"/>
      <c r="G31" s="137">
        <f>IF(G30=F30,0,IF('Period GHE data'!D6-G25-G19-G13-G7&lt;'Charging GHE Spilt per grade'!F30-G30,'Period GHE data'!D6-G25-G19-G13-G7,'Charging GHE Spilt per grade'!F30-'Charging GHE Spilt per grade'!G30))</f>
        <v>0</v>
      </c>
      <c r="H31" s="135"/>
      <c r="I31" s="137">
        <f>IF(I30=H30,0,IF('Period GHE data'!E6-I25-I19-I13-I7&lt;'Charging GHE Spilt per grade'!H30-I30,'Period GHE data'!E6-I25-I19-I13-I7,'Charging GHE Spilt per grade'!H30-'Charging GHE Spilt per grade'!I30))</f>
        <v>0</v>
      </c>
      <c r="J31" s="135"/>
      <c r="K31" s="137">
        <f>IF(K30=J30,0,IF('Period GHE data'!F6-K25-K19-K13-K7&lt;'Charging GHE Spilt per grade'!J30-K30,'Period GHE data'!F6-K25-K19-K13-K7,'Charging GHE Spilt per grade'!J30-'Charging GHE Spilt per grade'!K30))</f>
        <v>0</v>
      </c>
      <c r="L31" s="135"/>
      <c r="M31" s="137">
        <f>IF(M30=L30,0,IF('Period GHE data'!G6-M25-M19-M13-M7&lt;'Charging GHE Spilt per grade'!L30-M30,'Period GHE data'!G6-M25-M19-M13-M7,'Charging GHE Spilt per grade'!L30-'Charging GHE Spilt per grade'!M30))</f>
        <v>0</v>
      </c>
      <c r="N31" s="135"/>
      <c r="O31" s="137">
        <f>IF(O30=N30,0,IF('Period GHE data'!H6-O25-O19-O13-O7&lt;'Charging GHE Spilt per grade'!N30-O30,'Period GHE data'!H6-O25-O19-O13-O7,'Charging GHE Spilt per grade'!N30-'Charging GHE Spilt per grade'!O30))</f>
        <v>0</v>
      </c>
      <c r="P31" s="135"/>
      <c r="Q31" s="137">
        <f>IF(Q30=P30,0,IF('Period GHE data'!I6-Q25-Q19-Q13-Q7&lt;'Charging GHE Spilt per grade'!P30-Q30,'Period GHE data'!I6-Q25-Q19-Q13-Q7,'Charging GHE Spilt per grade'!P30-'Charging GHE Spilt per grade'!Q30))</f>
        <v>0</v>
      </c>
      <c r="R31" s="135"/>
      <c r="S31" s="137">
        <f>IF(S30=R30,0,IF('Period GHE data'!J6-S25-S19-S13-S7&lt;'Charging GHE Spilt per grade'!R30-S30,'Period GHE data'!J6-S25-S19-S13-S7,'Charging GHE Spilt per grade'!R30-'Charging GHE Spilt per grade'!S30))</f>
        <v>0</v>
      </c>
      <c r="T31" s="135"/>
      <c r="U31" s="137">
        <f>IF(U30=T30,0,IF('Period GHE data'!K6-U25-U19-U13-U7&lt;'Charging GHE Spilt per grade'!T30-U30,'Period GHE data'!K6-U25-U19-U13-U7,'Charging GHE Spilt per grade'!T30-'Charging GHE Spilt per grade'!U30))</f>
        <v>0</v>
      </c>
      <c r="V31" s="135"/>
      <c r="W31" s="137">
        <f>IF(W30=V30,0,IF('Period GHE data'!L6-W25-W19-W13-W7&lt;'Charging GHE Spilt per grade'!V30-W30,'Period GHE data'!L6-W25-W19-W13-W7,'Charging GHE Spilt per grade'!V30-'Charging GHE Spilt per grade'!W30))</f>
        <v>0</v>
      </c>
      <c r="X31" s="135"/>
      <c r="Y31" s="137">
        <f>IF(Y30=X30,0,IF('Period GHE data'!M6-Y25-Y19-Y13-Y7&lt;'Charging GHE Spilt per grade'!X30-Y30,'Period GHE data'!M6-Y25-Y19-Y13-Y7,'Charging GHE Spilt per grade'!X30-'Charging GHE Spilt per grade'!Y30))</f>
        <v>0</v>
      </c>
      <c r="Z31" s="135"/>
      <c r="AA31" s="137">
        <f>IF(AA30=Z30,0,IF('Period GHE data'!N6-AA25-AA19-AA13-AA7&lt;'Charging GHE Spilt per grade'!Z30-AA30,'Period GHE data'!N6-AA25-AA19-AA13-AA7,'Charging GHE Spilt per grade'!Z30-'Charging GHE Spilt per grade'!AA30))</f>
        <v>0</v>
      </c>
      <c r="AB31" s="135"/>
      <c r="AC31" s="137">
        <f>IF(AC30=AB30,0,IF('Period GHE data'!O6-AC25-AC19-AC13-AC7&lt;'Charging GHE Spilt per grade'!AB30-AC30,'Period GHE data'!O6-AC25-AC19-AC13-AC7,'Charging GHE Spilt per grade'!AB30-'Charging GHE Spilt per grade'!AC30))</f>
        <v>0</v>
      </c>
      <c r="AD31" s="136">
        <f t="shared" si="1"/>
        <v>0</v>
      </c>
    </row>
    <row r="32" spans="1:30" x14ac:dyDescent="0.35">
      <c r="A32" s="131"/>
      <c r="B32" s="132"/>
      <c r="C32" s="22" t="str">
        <f t="shared" si="17"/>
        <v>OV Dbl</v>
      </c>
      <c r="D32" s="11">
        <f t="shared" si="12"/>
        <v>131.80000000000001</v>
      </c>
      <c r="E32" s="11">
        <f t="shared" si="18"/>
        <v>5.2720000000000002</v>
      </c>
      <c r="F32" s="142"/>
      <c r="G32" s="138">
        <f>IF(G30+G31=F30,0,IF('Period GHE data'!D7-G8-G14-G20-G26&lt;'Charging GHE Spilt per grade'!F30-(G30+G31),'Period GHE data'!D7-G8-G14-G20-G26,'Charging GHE Spilt per grade'!F30-('Charging GHE Spilt per grade'!G30+G31)))</f>
        <v>0</v>
      </c>
      <c r="H32" s="135"/>
      <c r="I32" s="138">
        <f>IF(I30+I31=H30,0,IF('Period GHE data'!E7-I8-I14-I20-I26&lt;'Charging GHE Spilt per grade'!H30-(I30+I31),'Period GHE data'!E7-I8-I14-I20-I26,'Charging GHE Spilt per grade'!H30-('Charging GHE Spilt per grade'!I30+I31)))</f>
        <v>0</v>
      </c>
      <c r="J32" s="135"/>
      <c r="K32" s="138">
        <f>IF(K30+K31=J30,0,IF('Period GHE data'!F7-K8-K14-K20-K26&lt;'Charging GHE Spilt per grade'!J30-(K30+K31),'Period GHE data'!F7-K8-K14-K20-K26,'Charging GHE Spilt per grade'!J30-('Charging GHE Spilt per grade'!K30+K31)))</f>
        <v>0</v>
      </c>
      <c r="L32" s="135"/>
      <c r="M32" s="138">
        <f>IF(M30+M31=L30,0,IF('Period GHE data'!G7-M8-M14-M20-M26&lt;'Charging GHE Spilt per grade'!L30-(M30+M31),'Period GHE data'!G7-M8-M14-M20-M26,'Charging GHE Spilt per grade'!L30-('Charging GHE Spilt per grade'!M30+M31)))</f>
        <v>0</v>
      </c>
      <c r="N32" s="135"/>
      <c r="O32" s="138">
        <f>IF(O30+O31=N30,0,IF('Period GHE data'!H7-O8-O14-O20-O26&lt;'Charging GHE Spilt per grade'!N30-(O30+O31),'Period GHE data'!H7-O8-O14-O20-O26,'Charging GHE Spilt per grade'!N30-('Charging GHE Spilt per grade'!O30+O31)))</f>
        <v>0</v>
      </c>
      <c r="P32" s="135"/>
      <c r="Q32" s="138">
        <f>IF(Q30+Q31=P30,0,IF('Period GHE data'!I7-Q8-Q14-Q20-Q26&lt;'Charging GHE Spilt per grade'!P30-(Q30+Q31),'Period GHE data'!I7-Q8-Q14-Q20-Q26,'Charging GHE Spilt per grade'!P30-('Charging GHE Spilt per grade'!Q30+Q31)))</f>
        <v>0</v>
      </c>
      <c r="R32" s="135"/>
      <c r="S32" s="138">
        <f>IF(S30+S31=R30,0,IF('Period GHE data'!J7-S8-S14-S20-S26&lt;'Charging GHE Spilt per grade'!R30-(S30+S31),'Period GHE data'!J7-S8-S14-S20-S26,'Charging GHE Spilt per grade'!R30-('Charging GHE Spilt per grade'!S30+S31)))</f>
        <v>0</v>
      </c>
      <c r="T32" s="135"/>
      <c r="U32" s="138">
        <f>IF(U30+U31=T30,0,IF('Period GHE data'!K7-U8-U14-U20-U26&lt;'Charging GHE Spilt per grade'!T30-(U30+U31),'Period GHE data'!K7-U8-U14-U20-U26,'Charging GHE Spilt per grade'!T30-('Charging GHE Spilt per grade'!U30+U31)))</f>
        <v>0</v>
      </c>
      <c r="V32" s="135"/>
      <c r="W32" s="138">
        <f>IF(W30+W31=V30,0,IF('Period GHE data'!L7-W8-W14-W20-W26&lt;'Charging GHE Spilt per grade'!V30-(W30+W31),'Period GHE data'!L7-W8-W14-W20-W26,'Charging GHE Spilt per grade'!V30-('Charging GHE Spilt per grade'!W30+W31)))</f>
        <v>0</v>
      </c>
      <c r="X32" s="135"/>
      <c r="Y32" s="138">
        <f>IF(Y30+Y31=X30,0,IF('Period GHE data'!M7-Y8-Y14-Y20-Y26&lt;'Charging GHE Spilt per grade'!X30-(Y30+Y31),'Period GHE data'!M7-Y8-Y14-Y20-Y26,'Charging GHE Spilt per grade'!X30-('Charging GHE Spilt per grade'!Y30+Y31)))</f>
        <v>0</v>
      </c>
      <c r="Z32" s="135"/>
      <c r="AA32" s="138">
        <f>IF(AA30+AA31=Z30,0,IF('Period GHE data'!N7-AA8-AA14-AA20-AA26&lt;'Charging GHE Spilt per grade'!Z30-(AA30+AA31),'Period GHE data'!N7-AA8-AA14-AA20-AA26,'Charging GHE Spilt per grade'!Z30-('Charging GHE Spilt per grade'!AA30+AA31)))</f>
        <v>0</v>
      </c>
      <c r="AB32" s="135"/>
      <c r="AC32" s="138">
        <f>IF(AC30+AC31=AB30,0,IF('Period GHE data'!O7-AC8-AC14-AC20-AC26&lt;'Charging GHE Spilt per grade'!AB30-(AC30+AC31),'Period GHE data'!O7-AC8-AC14-AC20-AC26,'Charging GHE Spilt per grade'!AB30-('Charging GHE Spilt per grade'!AC30+AC31)))</f>
        <v>0</v>
      </c>
      <c r="AD32" s="136">
        <f t="shared" si="1"/>
        <v>0</v>
      </c>
    </row>
    <row r="33" spans="1:30" x14ac:dyDescent="0.35">
      <c r="A33" s="131"/>
      <c r="B33" s="132"/>
      <c r="C33" s="22" t="str">
        <f t="shared" si="17"/>
        <v>SMI Single</v>
      </c>
      <c r="D33" s="11">
        <f t="shared" si="12"/>
        <v>43.2</v>
      </c>
      <c r="E33" s="11">
        <f t="shared" si="18"/>
        <v>1.7280000000000002</v>
      </c>
      <c r="F33" s="142"/>
      <c r="G33" s="139">
        <f>IF(G30+G31+G32=F30,0,IF('Period GHE data'!D8-G9-G15-G21-G27&lt;'Charging GHE Spilt per grade'!F30-(G30+G31+G32),'Period GHE data'!D8-G9-G15-G21-G27,'Charging GHE Spilt per grade'!F30-('Charging GHE Spilt per grade'!G30+G31+G32)))</f>
        <v>0</v>
      </c>
      <c r="H33" s="135"/>
      <c r="I33" s="139">
        <f>IF(I30+I31+I32=H30,0,IF('Period GHE data'!E8-I9-I15-I21-I27&lt;'Charging GHE Spilt per grade'!H30-(I30+I31+I32),'Period GHE data'!E8-I9-I15-I21-I27,'Charging GHE Spilt per grade'!H30-('Charging GHE Spilt per grade'!I30+I31+I32)))</f>
        <v>0</v>
      </c>
      <c r="J33" s="135"/>
      <c r="K33" s="139">
        <f>IF(K30+K31+K32=J30,0,IF('Period GHE data'!F8-K9-K15-K21-K27&lt;'Charging GHE Spilt per grade'!J30-(K30+K31+K32),'Period GHE data'!F8-K9-K15-K21-K27,'Charging GHE Spilt per grade'!J30-('Charging GHE Spilt per grade'!K30+K31+K32)))</f>
        <v>0</v>
      </c>
      <c r="L33" s="135"/>
      <c r="M33" s="139">
        <f>IF(M30+M31+M32=L30,0,IF('Period GHE data'!G8-M9-M15-M21-M27&lt;'Charging GHE Spilt per grade'!L30-(M30+M31+M32),'Period GHE data'!G8-M9-M15-M21-M27,'Charging GHE Spilt per grade'!L30-('Charging GHE Spilt per grade'!M30+M31+M32)))</f>
        <v>0</v>
      </c>
      <c r="N33" s="135"/>
      <c r="O33" s="139">
        <f>IF(O30+O31+O32=N30,0,IF('Period GHE data'!H8-O9-O15-O21-O27&lt;'Charging GHE Spilt per grade'!N30-(O30+O31+O32),'Period GHE data'!H8-O9-O15-O21-O27,'Charging GHE Spilt per grade'!N30-('Charging GHE Spilt per grade'!O30+O31+O32)))</f>
        <v>0</v>
      </c>
      <c r="P33" s="135"/>
      <c r="Q33" s="139">
        <f>IF(Q30+Q31+Q32=P30,0,IF('Period GHE data'!I8-Q9-Q15-Q21-Q27&lt;'Charging GHE Spilt per grade'!P30-(Q30+Q31+Q32),'Period GHE data'!I8-Q9-Q15-Q21-Q27,'Charging GHE Spilt per grade'!P30-('Charging GHE Spilt per grade'!Q30+Q31+Q32)))</f>
        <v>0</v>
      </c>
      <c r="R33" s="135"/>
      <c r="S33" s="139">
        <f>IF(S30+S31+S32=R30,0,IF('Period GHE data'!J8-S9-S15-S21-S27&lt;'Charging GHE Spilt per grade'!R30-(S30+S31+S32),'Period GHE data'!J8-S9-S15-S21-S27,'Charging GHE Spilt per grade'!R30-('Charging GHE Spilt per grade'!S30+S31+S32)))</f>
        <v>0</v>
      </c>
      <c r="T33" s="135"/>
      <c r="U33" s="139">
        <f>IF(U30+U31+U32=T30,0,IF('Period GHE data'!K8-U9-U15-U21-U27&lt;'Charging GHE Spilt per grade'!T30-(U30+U31+U32),'Period GHE data'!K8-U9-U15-U21-U27,'Charging GHE Spilt per grade'!T30-('Charging GHE Spilt per grade'!U30+U31+U32)))</f>
        <v>0</v>
      </c>
      <c r="V33" s="135"/>
      <c r="W33" s="139">
        <f>IF(W30+W31+W32=V30,0,IF('Period GHE data'!L8-W9-W15-W21-W27&lt;'Charging GHE Spilt per grade'!V30-(W30+W31+W32),'Period GHE data'!L8-W9-W15-W21-W27,'Charging GHE Spilt per grade'!V30-('Charging GHE Spilt per grade'!W30+W31+W32)))</f>
        <v>0</v>
      </c>
      <c r="X33" s="135"/>
      <c r="Y33" s="139">
        <f>IF(Y30+Y31+Y32=X30,0,IF('Period GHE data'!M8-Y9-Y15-Y21-Y27&lt;'Charging GHE Spilt per grade'!X30-(Y30+Y31+Y32),'Period GHE data'!M8-Y9-Y15-Y21-Y27,'Charging GHE Spilt per grade'!X30-('Charging GHE Spilt per grade'!Y30+Y31+Y32)))</f>
        <v>0</v>
      </c>
      <c r="Z33" s="135"/>
      <c r="AA33" s="139">
        <f>IF(AA30+AA31+AA32=Z30,0,IF('Period GHE data'!N8-AA9-AA15-AA21-AA27&lt;'Charging GHE Spilt per grade'!Z30-(AA30+AA31+AA32),'Period GHE data'!N8-AA9-AA15-AA21-AA27,'Charging GHE Spilt per grade'!Z30-('Charging GHE Spilt per grade'!AA30+AA31+AA32)))</f>
        <v>0</v>
      </c>
      <c r="AB33" s="135"/>
      <c r="AC33" s="139">
        <f>IF(AC30+AC31+AC32=AB30,0,IF('Period GHE data'!O8-AC9-AC15-AC21-AC27&lt;'Charging GHE Spilt per grade'!AB30-(AC30+AC31+AC32),'Period GHE data'!O8-AC9-AC15-AC21-AC27,'Charging GHE Spilt per grade'!AB30-('Charging GHE Spilt per grade'!AC30+AC31+AC32)))</f>
        <v>0</v>
      </c>
      <c r="AD33" s="136">
        <f t="shared" si="1"/>
        <v>0</v>
      </c>
    </row>
    <row r="34" spans="1:30" x14ac:dyDescent="0.35">
      <c r="A34" s="131"/>
      <c r="B34" s="132"/>
      <c r="C34" s="22" t="str">
        <f t="shared" si="17"/>
        <v>SMI 1.5</v>
      </c>
      <c r="D34" s="11">
        <f t="shared" si="12"/>
        <v>64.800000000000011</v>
      </c>
      <c r="E34" s="11">
        <f t="shared" si="18"/>
        <v>2.5920000000000005</v>
      </c>
      <c r="F34" s="142"/>
      <c r="G34" s="140">
        <f>IF(G30+G31+G32+G33=F30,0,IF('Period GHE data'!D9-G10-G16-G22-G28&lt;'Charging GHE Spilt per grade'!F30-(G30+G31+G32+G33),'Period GHE data'!D9-G10-G16-G22-G28,'Charging GHE Spilt per grade'!F30-('Charging GHE Spilt per grade'!G30+G31+G32+G33)))</f>
        <v>0</v>
      </c>
      <c r="H34" s="135"/>
      <c r="I34" s="140">
        <f>IF(I30+I31+I32+I33=H30,0,IF('Period GHE data'!E9-I10-I16-I22-I28&lt;'Charging GHE Spilt per grade'!H30-(I30+I31+I32+I33),'Period GHE data'!E9-I10-I16-I22-I28,'Charging GHE Spilt per grade'!H30-('Charging GHE Spilt per grade'!I30+I31+I32+I33)))</f>
        <v>0</v>
      </c>
      <c r="J34" s="135"/>
      <c r="K34" s="140">
        <f>IF(K30+K31+K32+K33=J30,0,IF('Period GHE data'!F9-K10-K16-K22-K28&lt;'Charging GHE Spilt per grade'!J30-(K30+K31+K32+K33),'Period GHE data'!F9-K10-K16-K22-K28,'Charging GHE Spilt per grade'!J30-('Charging GHE Spilt per grade'!K30+K31+K32+K33)))</f>
        <v>0</v>
      </c>
      <c r="L34" s="135"/>
      <c r="M34" s="140">
        <f>IF(M30+M31+M32+M33=L30,0,IF('Period GHE data'!G9-M10-M16-M22-M28&lt;'Charging GHE Spilt per grade'!L30-(M30+M31+M33+M33),'Period GHE data'!G9-M10-M16-M22-M28,'Charging GHE Spilt per grade'!L30-('Charging GHE Spilt per grade'!M30+M31+M32+M33)))</f>
        <v>0</v>
      </c>
      <c r="N34" s="135"/>
      <c r="O34" s="140">
        <f>IF(O30+O31+O32+O33=N30,0,IF('Period GHE data'!H9-O10-O16-O22-O28&lt;'Charging GHE Spilt per grade'!N30-(O30+O31+O33+O33),'Period GHE data'!H9-O10-O16-O22-O28,'Charging GHE Spilt per grade'!N30-('Charging GHE Spilt per grade'!O30+O31+O32+O33)))</f>
        <v>0</v>
      </c>
      <c r="P34" s="135"/>
      <c r="Q34" s="140">
        <f>IF(Q30+Q31+Q32+Q33=P30,0,IF('Period GHE data'!I9-Q10-Q16-Q22-Q28&lt;'Charging GHE Spilt per grade'!P30-(Q30+Q31+Q33+Q33),'Period GHE data'!I9-Q10-Q16-Q22-Q28,'Charging GHE Spilt per grade'!P30-('Charging GHE Spilt per grade'!Q30+Q31+Q32+Q33)))</f>
        <v>0</v>
      </c>
      <c r="R34" s="135"/>
      <c r="S34" s="140">
        <f>IF(S30+S31+S32+S33=R30,0,IF('Period GHE data'!J9-S10-S16-S22-S28&lt;'Charging GHE Spilt per grade'!R30-(S30+S31+S33+S33),'Period GHE data'!J9-S10-S16-S22-S28,'Charging GHE Spilt per grade'!R30-('Charging GHE Spilt per grade'!S30+S31+S32+S33)))</f>
        <v>0</v>
      </c>
      <c r="T34" s="135"/>
      <c r="U34" s="140">
        <f>IF(U30+U31+U32+U33=T30,0,IF('Period GHE data'!K9-U10-U16-U22-U28&lt;'Charging GHE Spilt per grade'!T30-(U30+U31+U33+U33),'Period GHE data'!K9-U10-U16-U22-U28,'Charging GHE Spilt per grade'!T30-('Charging GHE Spilt per grade'!U30+U31+U32+U33)))</f>
        <v>0</v>
      </c>
      <c r="V34" s="135"/>
      <c r="W34" s="140">
        <f>IF(W30+W31+W32+W33=V30,0,IF('Period GHE data'!L9-W10-W16-W22-W28&lt;'Charging GHE Spilt per grade'!V30-(W30+W31+W33+W33),'Period GHE data'!L9-W10-W16-W22-W28,'Charging GHE Spilt per grade'!V30-('Charging GHE Spilt per grade'!W30+W31+W32+W33)))</f>
        <v>0</v>
      </c>
      <c r="X34" s="135"/>
      <c r="Y34" s="140">
        <f>IF(Y30+Y31+Y32+Y33=X30,0,IF('Period GHE data'!M9-Y10-Y16-Y22-Y28&lt;'Charging GHE Spilt per grade'!X30-(Y30+Y31+Y33+Y33),'Period GHE data'!M9-Y10-Y16-Y22-Y28,'Charging GHE Spilt per grade'!X30-('Charging GHE Spilt per grade'!Y30+Y31+Y32+Y33)))</f>
        <v>0</v>
      </c>
      <c r="Z34" s="135"/>
      <c r="AA34" s="140">
        <f>IF(AA30+AA31+AA32+AA33=Z30,0,IF('Period GHE data'!N9-AA10-AA16-AA22-AA28&lt;'Charging GHE Spilt per grade'!Z30-(AA30+AA31+AA33+AA33),'Period GHE data'!N9-AA10-AA16-AA22-AA28,'Charging GHE Spilt per grade'!Z30-('Charging GHE Spilt per grade'!AA30+AA31+AA32+AA33)))</f>
        <v>0</v>
      </c>
      <c r="AB34" s="135"/>
      <c r="AC34" s="140">
        <f>IF(AC30+AC31+AC32+AC33=AB30,0,IF('Period GHE data'!O9-AC10-AC16-AC22-AC28&lt;'Charging GHE Spilt per grade'!AB30-(AC30+AC31+AC33+AC33),'Period GHE data'!O9-AC10-AC16-AC22-AC28,'Charging GHE Spilt per grade'!AB30-('Charging GHE Spilt per grade'!AC30+AC31+AC32+AC33)))</f>
        <v>0</v>
      </c>
      <c r="AD34" s="136">
        <f t="shared" si="1"/>
        <v>0</v>
      </c>
    </row>
    <row r="35" spans="1:30" x14ac:dyDescent="0.35">
      <c r="A35" s="131"/>
      <c r="B35" s="132"/>
      <c r="C35" s="22" t="str">
        <f t="shared" si="17"/>
        <v>SMI Dbl</v>
      </c>
      <c r="D35" s="11">
        <f t="shared" si="12"/>
        <v>86.4</v>
      </c>
      <c r="E35" s="11">
        <f t="shared" si="18"/>
        <v>3.4560000000000004</v>
      </c>
      <c r="F35" s="142"/>
      <c r="G35" s="141">
        <f>IF(G30+G31+G32+G33+G34=F30,0,IF('Period GHE data'!D10-G11-G17-G23-G29&lt;'Charging GHE Spilt per grade'!F30-(G30+G31+G32+G33+G34),'Period GHE data'!D10-G11-G17-G23-G29,'Charging GHE Spilt per grade'!F30-('Charging GHE Spilt per grade'!G30+G31+G32+G33+G34)))</f>
        <v>0</v>
      </c>
      <c r="H35" s="135"/>
      <c r="I35" s="141">
        <f>IF(I30+I31+I32+I33+I34=H30,0,IF('Period GHE data'!E10-I11-I17-I23-I29&lt;'Charging GHE Spilt per grade'!H30-(I30+I31+I32+I33+I34),'Period GHE data'!E10-I11-I17-I23-I29,'Charging GHE Spilt per grade'!H30-('Charging GHE Spilt per grade'!I30+I31+I32+I33+I34)))</f>
        <v>0</v>
      </c>
      <c r="J35" s="135"/>
      <c r="K35" s="141">
        <f>IF(K30+K31+K32+K33+K34=J30,0,IF('Period GHE data'!F10-K11-K17-K23-K29&lt;'Charging GHE Spilt per grade'!J30-(K30+K31+K32+K33+K34),'Period GHE data'!F10-K11-K17-K23-K29,'Charging GHE Spilt per grade'!J30-('Charging GHE Spilt per grade'!K30+K31+K32+K33+K34)))</f>
        <v>0</v>
      </c>
      <c r="L35" s="135"/>
      <c r="M35" s="141">
        <f>IF(M30+M31+M32+M33+M34=L30,0,IF('Period GHE data'!G10-M11-M17-M23-M29&lt;'Charging GHE Spilt per grade'!L30-(M30+M31+M32+M33+M34),'Period GHE data'!G10-M11-M17-M23-M29,'Charging GHE Spilt per grade'!L30-('Charging GHE Spilt per grade'!M30+M31+M32+M33+M34)))</f>
        <v>0</v>
      </c>
      <c r="N35" s="135"/>
      <c r="O35" s="141">
        <f>IF(O30+O31+O32+O33+O34=N30,0,IF('Period GHE data'!H10-O11-O17-O23-O29&lt;'Charging GHE Spilt per grade'!N30-(O30+O31+O32+O33+O34),'Period GHE data'!H10-O11-O17-O23-O29,'Charging GHE Spilt per grade'!N30-('Charging GHE Spilt per grade'!O30+O31+O32+O33+O34)))</f>
        <v>0</v>
      </c>
      <c r="P35" s="135"/>
      <c r="Q35" s="141">
        <f>IF(Q30+Q31+Q32+Q33+Q34=P30,0,IF('Period GHE data'!I10-Q11-Q17-Q23-Q29&lt;'Charging GHE Spilt per grade'!P30-(Q30+Q31+Q32+Q33+Q34),'Period GHE data'!I10-Q11-Q17-Q23-Q29,'Charging GHE Spilt per grade'!P30-('Charging GHE Spilt per grade'!Q30+Q31+Q32+Q33+Q34)))</f>
        <v>0</v>
      </c>
      <c r="R35" s="135"/>
      <c r="S35" s="141">
        <f>IF(S30+S31+S32+S33+S34=R30,0,IF('Period GHE data'!J10-S11-S17-S23-S29&lt;'Charging GHE Spilt per grade'!R30-(S30+S31+S32+S33+S34),'Period GHE data'!J10-S11-S17-S23-S29,'Charging GHE Spilt per grade'!R30-('Charging GHE Spilt per grade'!S30+S31+S32+S33+S34)))</f>
        <v>0</v>
      </c>
      <c r="T35" s="135"/>
      <c r="U35" s="141">
        <f>IF(U30+U31+U32+U33+U34=T30,0,IF('Period GHE data'!K10-U11-U17-U23-U29&lt;'Charging GHE Spilt per grade'!T30-(U30+U31+U32+U33+U34),'Period GHE data'!K10-U11-U17-U23-U29,'Charging GHE Spilt per grade'!T30-('Charging GHE Spilt per grade'!U30+U31+U32+U33+U34)))</f>
        <v>0</v>
      </c>
      <c r="V35" s="135"/>
      <c r="W35" s="141">
        <f>IF(W30+W31+W32+W33+W34=V30,0,IF('Period GHE data'!L10-W11-W17-W23-W29&lt;'Charging GHE Spilt per grade'!V30-(W30+W31+W32+W33+W34),'Period GHE data'!L10-W11-W17-W23-W29,'Charging GHE Spilt per grade'!V30-('Charging GHE Spilt per grade'!W30+W31+W32+W33+W34)))</f>
        <v>0</v>
      </c>
      <c r="X35" s="135"/>
      <c r="Y35" s="141">
        <f>IF(Y30+Y31+Y32+Y33+Y34=X30,0,IF('Period GHE data'!M10-Y11-Y17-Y23-Y29&lt;'Charging GHE Spilt per grade'!X30-(Y30+Y31+Y32+Y33+Y34),'Period GHE data'!M10-Y11-Y17-Y23-Y29,'Charging GHE Spilt per grade'!X30-('Charging GHE Spilt per grade'!Y30+Y31+Y32+Y33+Y34)))</f>
        <v>0</v>
      </c>
      <c r="Z35" s="135"/>
      <c r="AA35" s="141">
        <f>IF(AA30+AA31+AA32+AA33+AA34=Z30,0,IF('Period GHE data'!N10-AA11-AA17-AA23-AA29&lt;'Charging GHE Spilt per grade'!Z30-(AA30+AA31+AA32+AA33+AA34),'Period GHE data'!N10-AA11-AA17-AA23-AA29,'Charging GHE Spilt per grade'!Z30-('Charging GHE Spilt per grade'!AA30+AA31+AA32+AA33+AA34)))</f>
        <v>0</v>
      </c>
      <c r="AB35" s="135"/>
      <c r="AC35" s="141">
        <f>IF(AC30+AC31+AC32+AC33+AC34=AB30,0,IF('Period GHE data'!O10-AC11-AC17-AC23-AC29&lt;'Charging GHE Spilt per grade'!AB30-(AC30+AC31+AC32+AC33+AC34),'Period GHE data'!O10-AC11-AC17-AC23-AC29,'Charging GHE Spilt per grade'!AB30-('Charging GHE Spilt per grade'!AC30+AC31+AC32+AC33+AC34)))</f>
        <v>0</v>
      </c>
      <c r="AD35" s="136">
        <f t="shared" si="1"/>
        <v>0</v>
      </c>
    </row>
    <row r="36" spans="1:30" x14ac:dyDescent="0.35">
      <c r="A36" s="131">
        <v>6</v>
      </c>
      <c r="B36" s="132">
        <f>'Annual data (rates, Bands, disc'!E8</f>
        <v>0.02</v>
      </c>
      <c r="C36" s="22" t="str">
        <f t="shared" ref="C36:C41" si="19">C6</f>
        <v>OV Single</v>
      </c>
      <c r="D36" s="11">
        <f t="shared" si="12"/>
        <v>65.900000000000006</v>
      </c>
      <c r="E36" s="11">
        <f>D36*$B$36</f>
        <v>1.3180000000000001</v>
      </c>
      <c r="F36" s="142"/>
      <c r="G36" s="134">
        <f>'Period GHE data'!D5-'Charging GHE Spilt per grade'!G30-G24-G18-G12-G6</f>
        <v>0</v>
      </c>
      <c r="H36" s="135"/>
      <c r="I36" s="134">
        <f>'Period GHE data'!E5-'Charging GHE Spilt per grade'!I30-I24-I18-I12-I6</f>
        <v>0</v>
      </c>
      <c r="J36" s="143"/>
      <c r="K36" s="134">
        <f>'Period GHE data'!F5-'Charging GHE Spilt per grade'!K30-K24-K18-K12-K6</f>
        <v>0</v>
      </c>
      <c r="L36" s="143"/>
      <c r="M36" s="144">
        <f>'Period GHE data'!G5-'Charging GHE Spilt per grade'!M30-M24-M18-M12-M6</f>
        <v>0</v>
      </c>
      <c r="N36" s="143"/>
      <c r="O36" s="144">
        <f>'Period GHE data'!H5-'Charging GHE Spilt per grade'!O30-O24-O18-O12-O6</f>
        <v>0</v>
      </c>
      <c r="P36" s="143"/>
      <c r="Q36" s="144">
        <f>'Period GHE data'!I5-'Charging GHE Spilt per grade'!Q30-Q24-Q18-Q12-Q6</f>
        <v>0</v>
      </c>
      <c r="R36" s="143"/>
      <c r="S36" s="144">
        <f>'Period GHE data'!J5-'Charging GHE Spilt per grade'!S30-S24-S18-S12-S6</f>
        <v>0</v>
      </c>
      <c r="T36" s="143"/>
      <c r="U36" s="144">
        <f>'Period GHE data'!K5-'Charging GHE Spilt per grade'!U30-U24-U18-U12-U6</f>
        <v>0</v>
      </c>
      <c r="V36" s="143"/>
      <c r="W36" s="144">
        <f>'Period GHE data'!L5-'Charging GHE Spilt per grade'!W30-W24-W18-W12-W6</f>
        <v>0</v>
      </c>
      <c r="X36" s="143"/>
      <c r="Y36" s="144">
        <f>'Period GHE data'!M5-'Charging GHE Spilt per grade'!Y30-Y24-Y18-Y12-Y6</f>
        <v>0</v>
      </c>
      <c r="Z36" s="143"/>
      <c r="AA36" s="144">
        <f>'Period GHE data'!N5-'Charging GHE Spilt per grade'!AA30-AA24-AA18-AA12-AA6</f>
        <v>0</v>
      </c>
      <c r="AB36" s="143"/>
      <c r="AC36" s="144">
        <f>'Period GHE data'!O5-'Charging GHE Spilt per grade'!AC30-AC24-AC18-AC12-AC6</f>
        <v>0</v>
      </c>
      <c r="AD36" s="136">
        <f t="shared" si="1"/>
        <v>0</v>
      </c>
    </row>
    <row r="37" spans="1:30" x14ac:dyDescent="0.35">
      <c r="A37" s="131"/>
      <c r="B37" s="132"/>
      <c r="C37" s="22" t="str">
        <f t="shared" si="19"/>
        <v>OV 1.5</v>
      </c>
      <c r="D37" s="11">
        <f t="shared" si="12"/>
        <v>98.850000000000009</v>
      </c>
      <c r="E37" s="11">
        <f t="shared" ref="E37:E41" si="20">D37*$B$36</f>
        <v>1.9770000000000003</v>
      </c>
      <c r="F37" s="142"/>
      <c r="G37" s="137">
        <f>'Period GHE data'!D6-'Charging GHE Spilt per grade'!G7-'Charging GHE Spilt per grade'!G13-'Charging GHE Spilt per grade'!G19-'Charging GHE Spilt per grade'!G25-'Charging GHE Spilt per grade'!G31</f>
        <v>0</v>
      </c>
      <c r="H37" s="135"/>
      <c r="I37" s="137">
        <f>'Period GHE data'!E6-'Charging GHE Spilt per grade'!I7-'Charging GHE Spilt per grade'!I13-'Charging GHE Spilt per grade'!I19-'Charging GHE Spilt per grade'!I25-'Charging GHE Spilt per grade'!I31</f>
        <v>0</v>
      </c>
      <c r="J37" s="143"/>
      <c r="K37" s="145">
        <f>'Period GHE data'!F6-'Charging GHE Spilt per grade'!K7-'Charging GHE Spilt per grade'!K13-'Charging GHE Spilt per grade'!K19-'Charging GHE Spilt per grade'!K25-'Charging GHE Spilt per grade'!K31</f>
        <v>0</v>
      </c>
      <c r="L37" s="143"/>
      <c r="M37" s="145">
        <f>'Period GHE data'!G6-'Charging GHE Spilt per grade'!M7-'Charging GHE Spilt per grade'!M13-'Charging GHE Spilt per grade'!M19-'Charging GHE Spilt per grade'!M25-'Charging GHE Spilt per grade'!M31</f>
        <v>0</v>
      </c>
      <c r="N37" s="143"/>
      <c r="O37" s="145">
        <f>'Period GHE data'!H6-'Charging GHE Spilt per grade'!O7-'Charging GHE Spilt per grade'!O13-'Charging GHE Spilt per grade'!O19-'Charging GHE Spilt per grade'!O25-'Charging GHE Spilt per grade'!O31</f>
        <v>0</v>
      </c>
      <c r="P37" s="143"/>
      <c r="Q37" s="145">
        <f>'Period GHE data'!I6-'Charging GHE Spilt per grade'!Q7-'Charging GHE Spilt per grade'!Q13-'Charging GHE Spilt per grade'!Q19-'Charging GHE Spilt per grade'!Q25-'Charging GHE Spilt per grade'!Q31</f>
        <v>0</v>
      </c>
      <c r="R37" s="143"/>
      <c r="S37" s="145">
        <f>'Period GHE data'!J6-'Charging GHE Spilt per grade'!S7-'Charging GHE Spilt per grade'!S13-'Charging GHE Spilt per grade'!S19-'Charging GHE Spilt per grade'!S25-'Charging GHE Spilt per grade'!S31</f>
        <v>0</v>
      </c>
      <c r="T37" s="143"/>
      <c r="U37" s="145">
        <f>'Period GHE data'!K6-'Charging GHE Spilt per grade'!U7-'Charging GHE Spilt per grade'!U13-'Charging GHE Spilt per grade'!U19-'Charging GHE Spilt per grade'!U25-'Charging GHE Spilt per grade'!U31</f>
        <v>0</v>
      </c>
      <c r="V37" s="143"/>
      <c r="W37" s="145">
        <f>'Period GHE data'!L6-'Charging GHE Spilt per grade'!W7-'Charging GHE Spilt per grade'!W13-'Charging GHE Spilt per grade'!W19-'Charging GHE Spilt per grade'!W25-'Charging GHE Spilt per grade'!W31</f>
        <v>0</v>
      </c>
      <c r="X37" s="143"/>
      <c r="Y37" s="145">
        <f>'Period GHE data'!M6-'Charging GHE Spilt per grade'!Y7-'Charging GHE Spilt per grade'!Y13-'Charging GHE Spilt per grade'!Y19-'Charging GHE Spilt per grade'!Y25-'Charging GHE Spilt per grade'!Y31</f>
        <v>0</v>
      </c>
      <c r="Z37" s="143"/>
      <c r="AA37" s="145">
        <f>'Period GHE data'!N6-'Charging GHE Spilt per grade'!AA7-'Charging GHE Spilt per grade'!AA13-'Charging GHE Spilt per grade'!AA19-'Charging GHE Spilt per grade'!AA25-'Charging GHE Spilt per grade'!AA31</f>
        <v>0</v>
      </c>
      <c r="AB37" s="143"/>
      <c r="AC37" s="145">
        <f>'Period GHE data'!O6-'Charging GHE Spilt per grade'!AC7-'Charging GHE Spilt per grade'!AC13-'Charging GHE Spilt per grade'!AC19-'Charging GHE Spilt per grade'!AC25-'Charging GHE Spilt per grade'!AC31</f>
        <v>0</v>
      </c>
      <c r="AD37" s="136">
        <f t="shared" si="1"/>
        <v>0</v>
      </c>
    </row>
    <row r="38" spans="1:30" x14ac:dyDescent="0.35">
      <c r="A38" s="131"/>
      <c r="B38" s="132"/>
      <c r="C38" s="22" t="str">
        <f t="shared" si="19"/>
        <v>OV Dbl</v>
      </c>
      <c r="D38" s="11">
        <f t="shared" si="12"/>
        <v>131.80000000000001</v>
      </c>
      <c r="E38" s="11">
        <f t="shared" si="20"/>
        <v>2.6360000000000001</v>
      </c>
      <c r="F38" s="142"/>
      <c r="G38" s="138">
        <f>'Period GHE data'!D7-'Charging GHE Spilt per grade'!G8-'Charging GHE Spilt per grade'!G14-'Charging GHE Spilt per grade'!G20-'Charging GHE Spilt per grade'!G26-'Charging GHE Spilt per grade'!G32</f>
        <v>0</v>
      </c>
      <c r="H38" s="135"/>
      <c r="I38" s="138">
        <f>'Period GHE data'!E7-'Charging GHE Spilt per grade'!I8-'Charging GHE Spilt per grade'!I14-'Charging GHE Spilt per grade'!I20-'Charging GHE Spilt per grade'!I26-'Charging GHE Spilt per grade'!I32</f>
        <v>0</v>
      </c>
      <c r="J38" s="143"/>
      <c r="K38" s="146">
        <f>'Period GHE data'!F7-'Charging GHE Spilt per grade'!K8-'Charging GHE Spilt per grade'!K14-'Charging GHE Spilt per grade'!K20-'Charging GHE Spilt per grade'!K26-'Charging GHE Spilt per grade'!K32</f>
        <v>0</v>
      </c>
      <c r="L38" s="143"/>
      <c r="M38" s="146">
        <f>'Period GHE data'!G7-'Charging GHE Spilt per grade'!M8-'Charging GHE Spilt per grade'!M14-'Charging GHE Spilt per grade'!M20-'Charging GHE Spilt per grade'!M26-'Charging GHE Spilt per grade'!M32</f>
        <v>0</v>
      </c>
      <c r="N38" s="143"/>
      <c r="O38" s="146">
        <f>'Period GHE data'!H7-'Charging GHE Spilt per grade'!O8-'Charging GHE Spilt per grade'!O14-'Charging GHE Spilt per grade'!O20-'Charging GHE Spilt per grade'!O26-'Charging GHE Spilt per grade'!O32</f>
        <v>0</v>
      </c>
      <c r="P38" s="143"/>
      <c r="Q38" s="146">
        <f>'Period GHE data'!I7-'Charging GHE Spilt per grade'!Q8-'Charging GHE Spilt per grade'!Q14-'Charging GHE Spilt per grade'!Q20-'Charging GHE Spilt per grade'!Q26-'Charging GHE Spilt per grade'!Q32</f>
        <v>0</v>
      </c>
      <c r="R38" s="143"/>
      <c r="S38" s="146">
        <f>'Period GHE data'!J7-'Charging GHE Spilt per grade'!S8-'Charging GHE Spilt per grade'!S14-'Charging GHE Spilt per grade'!S20-'Charging GHE Spilt per grade'!S26-'Charging GHE Spilt per grade'!S32</f>
        <v>0</v>
      </c>
      <c r="T38" s="143"/>
      <c r="U38" s="146">
        <f>'Period GHE data'!K7-'Charging GHE Spilt per grade'!U8-'Charging GHE Spilt per grade'!U14-'Charging GHE Spilt per grade'!U20-'Charging GHE Spilt per grade'!U26-'Charging GHE Spilt per grade'!U32</f>
        <v>0</v>
      </c>
      <c r="V38" s="143"/>
      <c r="W38" s="146">
        <f>'Period GHE data'!L7-'Charging GHE Spilt per grade'!W8-'Charging GHE Spilt per grade'!W14-'Charging GHE Spilt per grade'!W20-'Charging GHE Spilt per grade'!W26-'Charging GHE Spilt per grade'!W32</f>
        <v>0</v>
      </c>
      <c r="X38" s="143"/>
      <c r="Y38" s="146">
        <f>'Period GHE data'!M7-'Charging GHE Spilt per grade'!Y8-'Charging GHE Spilt per grade'!Y14-'Charging GHE Spilt per grade'!Y20-'Charging GHE Spilt per grade'!Y26-'Charging GHE Spilt per grade'!Y32</f>
        <v>0</v>
      </c>
      <c r="Z38" s="143"/>
      <c r="AA38" s="146">
        <f>'Period GHE data'!N7-'Charging GHE Spilt per grade'!AA8-'Charging GHE Spilt per grade'!AA14-'Charging GHE Spilt per grade'!AA20-'Charging GHE Spilt per grade'!AA26-'Charging GHE Spilt per grade'!AA32</f>
        <v>0</v>
      </c>
      <c r="AB38" s="143"/>
      <c r="AC38" s="146">
        <f>'Period GHE data'!O7-'Charging GHE Spilt per grade'!AC8-'Charging GHE Spilt per grade'!AC14-'Charging GHE Spilt per grade'!AC20-'Charging GHE Spilt per grade'!AC26-'Charging GHE Spilt per grade'!AC32</f>
        <v>0</v>
      </c>
      <c r="AD38" s="136">
        <f t="shared" si="1"/>
        <v>0</v>
      </c>
    </row>
    <row r="39" spans="1:30" x14ac:dyDescent="0.35">
      <c r="A39" s="131"/>
      <c r="B39" s="132"/>
      <c r="C39" s="22" t="str">
        <f t="shared" si="19"/>
        <v>SMI Single</v>
      </c>
      <c r="D39" s="11">
        <f t="shared" si="12"/>
        <v>43.2</v>
      </c>
      <c r="E39" s="11">
        <f t="shared" si="20"/>
        <v>0.8640000000000001</v>
      </c>
      <c r="F39" s="142"/>
      <c r="G39" s="139">
        <f>'Period GHE data'!D8-'Charging GHE Spilt per grade'!G9-'Charging GHE Spilt per grade'!G15-'Charging GHE Spilt per grade'!G21-'Charging GHE Spilt per grade'!G27-'Charging GHE Spilt per grade'!G33</f>
        <v>0</v>
      </c>
      <c r="H39" s="135"/>
      <c r="I39" s="139">
        <f>'Period GHE data'!E8-'Charging GHE Spilt per grade'!I9-'Charging GHE Spilt per grade'!I15-'Charging GHE Spilt per grade'!I21-'Charging GHE Spilt per grade'!I27-'Charging GHE Spilt per grade'!I33</f>
        <v>0</v>
      </c>
      <c r="J39" s="143"/>
      <c r="K39" s="147">
        <f>'Period GHE data'!F8-'Charging GHE Spilt per grade'!K9-'Charging GHE Spilt per grade'!K15-'Charging GHE Spilt per grade'!K21-'Charging GHE Spilt per grade'!K27-'Charging GHE Spilt per grade'!K33</f>
        <v>0</v>
      </c>
      <c r="L39" s="143"/>
      <c r="M39" s="147">
        <f>'Period GHE data'!G8-'Charging GHE Spilt per grade'!M9-'Charging GHE Spilt per grade'!M15-'Charging GHE Spilt per grade'!M21-'Charging GHE Spilt per grade'!M27-'Charging GHE Spilt per grade'!M33</f>
        <v>0</v>
      </c>
      <c r="N39" s="143"/>
      <c r="O39" s="147">
        <f>'Period GHE data'!H8-'Charging GHE Spilt per grade'!O9-'Charging GHE Spilt per grade'!O15-'Charging GHE Spilt per grade'!O21-'Charging GHE Spilt per grade'!O27-'Charging GHE Spilt per grade'!O33</f>
        <v>0</v>
      </c>
      <c r="P39" s="143"/>
      <c r="Q39" s="147">
        <f>'Period GHE data'!I8-'Charging GHE Spilt per grade'!Q9-'Charging GHE Spilt per grade'!Q15-'Charging GHE Spilt per grade'!Q21-'Charging GHE Spilt per grade'!Q27-'Charging GHE Spilt per grade'!Q33</f>
        <v>0</v>
      </c>
      <c r="R39" s="143"/>
      <c r="S39" s="147">
        <f>'Period GHE data'!J8-'Charging GHE Spilt per grade'!S9-'Charging GHE Spilt per grade'!S15-'Charging GHE Spilt per grade'!S21-'Charging GHE Spilt per grade'!S27-'Charging GHE Spilt per grade'!S33</f>
        <v>0</v>
      </c>
      <c r="T39" s="143"/>
      <c r="U39" s="147">
        <f>'Period GHE data'!K8-'Charging GHE Spilt per grade'!U9-'Charging GHE Spilt per grade'!U15-'Charging GHE Spilt per grade'!U21-'Charging GHE Spilt per grade'!U27-'Charging GHE Spilt per grade'!U33</f>
        <v>0</v>
      </c>
      <c r="V39" s="143"/>
      <c r="W39" s="147">
        <f>'Period GHE data'!L8-'Charging GHE Spilt per grade'!W9-'Charging GHE Spilt per grade'!W15-'Charging GHE Spilt per grade'!W21-'Charging GHE Spilt per grade'!W27-'Charging GHE Spilt per grade'!W33</f>
        <v>0</v>
      </c>
      <c r="X39" s="143"/>
      <c r="Y39" s="147">
        <f>'Period GHE data'!M8-'Charging GHE Spilt per grade'!Y9-'Charging GHE Spilt per grade'!Y15-'Charging GHE Spilt per grade'!Y21-'Charging GHE Spilt per grade'!Y27-'Charging GHE Spilt per grade'!Y33</f>
        <v>0</v>
      </c>
      <c r="Z39" s="143"/>
      <c r="AA39" s="147">
        <f>'Period GHE data'!N8-'Charging GHE Spilt per grade'!AA9-'Charging GHE Spilt per grade'!AA15-'Charging GHE Spilt per grade'!AA21-'Charging GHE Spilt per grade'!AA27-'Charging GHE Spilt per grade'!AA33</f>
        <v>0</v>
      </c>
      <c r="AB39" s="143"/>
      <c r="AC39" s="147">
        <f>'Period GHE data'!O8-'Charging GHE Spilt per grade'!AC9-'Charging GHE Spilt per grade'!AC15-'Charging GHE Spilt per grade'!AC21-'Charging GHE Spilt per grade'!AC27-'Charging GHE Spilt per grade'!AC33</f>
        <v>0</v>
      </c>
      <c r="AD39" s="136">
        <f t="shared" si="1"/>
        <v>0</v>
      </c>
    </row>
    <row r="40" spans="1:30" x14ac:dyDescent="0.35">
      <c r="A40" s="131"/>
      <c r="B40" s="132"/>
      <c r="C40" s="22" t="str">
        <f t="shared" si="19"/>
        <v>SMI 1.5</v>
      </c>
      <c r="D40" s="11">
        <f t="shared" si="12"/>
        <v>64.800000000000011</v>
      </c>
      <c r="E40" s="11">
        <f t="shared" si="20"/>
        <v>1.2960000000000003</v>
      </c>
      <c r="F40" s="142"/>
      <c r="G40" s="140">
        <f>'Period GHE data'!D9-'Charging GHE Spilt per grade'!G10-'Charging GHE Spilt per grade'!G16-'Charging GHE Spilt per grade'!G22-'Charging GHE Spilt per grade'!G28-'Charging GHE Spilt per grade'!G34</f>
        <v>0</v>
      </c>
      <c r="H40" s="135"/>
      <c r="I40" s="140">
        <f>'Period GHE data'!E9-'Charging GHE Spilt per grade'!I10-'Charging GHE Spilt per grade'!I16-'Charging GHE Spilt per grade'!I22-'Charging GHE Spilt per grade'!I28-'Charging GHE Spilt per grade'!I34</f>
        <v>0</v>
      </c>
      <c r="J40" s="143"/>
      <c r="K40" s="148">
        <f>'Period GHE data'!F9-'Charging GHE Spilt per grade'!K10-'Charging GHE Spilt per grade'!K16-'Charging GHE Spilt per grade'!K22-'Charging GHE Spilt per grade'!K28-'Charging GHE Spilt per grade'!K34</f>
        <v>0</v>
      </c>
      <c r="L40" s="143"/>
      <c r="M40" s="148">
        <f>'Period GHE data'!G9-'Charging GHE Spilt per grade'!M10-'Charging GHE Spilt per grade'!M16-'Charging GHE Spilt per grade'!M22-'Charging GHE Spilt per grade'!M28-'Charging GHE Spilt per grade'!M34</f>
        <v>0</v>
      </c>
      <c r="N40" s="143"/>
      <c r="O40" s="148">
        <f>'Period GHE data'!H9-'Charging GHE Spilt per grade'!O10-'Charging GHE Spilt per grade'!O16-'Charging GHE Spilt per grade'!O22-'Charging GHE Spilt per grade'!O28-'Charging GHE Spilt per grade'!O34</f>
        <v>0</v>
      </c>
      <c r="P40" s="143"/>
      <c r="Q40" s="148">
        <f>'Period GHE data'!I9-'Charging GHE Spilt per grade'!Q10-'Charging GHE Spilt per grade'!Q16-'Charging GHE Spilt per grade'!Q22-'Charging GHE Spilt per grade'!Q28-'Charging GHE Spilt per grade'!Q34</f>
        <v>0</v>
      </c>
      <c r="R40" s="143"/>
      <c r="S40" s="148">
        <f>'Period GHE data'!J9-'Charging GHE Spilt per grade'!S10-'Charging GHE Spilt per grade'!S16-'Charging GHE Spilt per grade'!S22-'Charging GHE Spilt per grade'!S28-'Charging GHE Spilt per grade'!S34</f>
        <v>0</v>
      </c>
      <c r="T40" s="143"/>
      <c r="U40" s="148">
        <f>'Period GHE data'!K9-'Charging GHE Spilt per grade'!U10-'Charging GHE Spilt per grade'!U16-'Charging GHE Spilt per grade'!U22-'Charging GHE Spilt per grade'!U28-'Charging GHE Spilt per grade'!U34</f>
        <v>0</v>
      </c>
      <c r="V40" s="143"/>
      <c r="W40" s="148">
        <f>'Period GHE data'!L9-'Charging GHE Spilt per grade'!W10-'Charging GHE Spilt per grade'!W16-'Charging GHE Spilt per grade'!W22-'Charging GHE Spilt per grade'!W28-'Charging GHE Spilt per grade'!W34</f>
        <v>0</v>
      </c>
      <c r="X40" s="143"/>
      <c r="Y40" s="148">
        <f>'Period GHE data'!M9-'Charging GHE Spilt per grade'!Y10-'Charging GHE Spilt per grade'!Y16-'Charging GHE Spilt per grade'!Y22-'Charging GHE Spilt per grade'!Y28-'Charging GHE Spilt per grade'!Y34</f>
        <v>0</v>
      </c>
      <c r="Z40" s="143"/>
      <c r="AA40" s="148">
        <f>'Period GHE data'!N9-'Charging GHE Spilt per grade'!AA10-'Charging GHE Spilt per grade'!AA16-'Charging GHE Spilt per grade'!AA22-'Charging GHE Spilt per grade'!AA28-'Charging GHE Spilt per grade'!AA34</f>
        <v>0</v>
      </c>
      <c r="AB40" s="143"/>
      <c r="AC40" s="148">
        <f>'Period GHE data'!O9-'Charging GHE Spilt per grade'!AC10-'Charging GHE Spilt per grade'!AC16-'Charging GHE Spilt per grade'!AC22-'Charging GHE Spilt per grade'!AC28-'Charging GHE Spilt per grade'!AC34</f>
        <v>0</v>
      </c>
      <c r="AD40" s="136">
        <f t="shared" si="1"/>
        <v>0</v>
      </c>
    </row>
    <row r="41" spans="1:30" x14ac:dyDescent="0.35">
      <c r="A41" s="131"/>
      <c r="B41" s="132"/>
      <c r="C41" s="22" t="str">
        <f t="shared" si="19"/>
        <v>SMI Dbl</v>
      </c>
      <c r="D41" s="11">
        <f t="shared" si="12"/>
        <v>86.4</v>
      </c>
      <c r="E41" s="11">
        <f t="shared" si="20"/>
        <v>1.7280000000000002</v>
      </c>
      <c r="F41" s="142"/>
      <c r="G41" s="141">
        <f>'Period GHE data'!D10-'Charging GHE Spilt per grade'!G11-'Charging GHE Spilt per grade'!G17-'Charging GHE Spilt per grade'!G23-'Charging GHE Spilt per grade'!G29-'Charging GHE Spilt per grade'!G35</f>
        <v>0</v>
      </c>
      <c r="H41" s="135"/>
      <c r="I41" s="141">
        <f>'Period GHE data'!E10-'Charging GHE Spilt per grade'!I11-'Charging GHE Spilt per grade'!I17-'Charging GHE Spilt per grade'!I23-'Charging GHE Spilt per grade'!I29-'Charging GHE Spilt per grade'!I35</f>
        <v>0</v>
      </c>
      <c r="J41" s="143"/>
      <c r="K41" s="149">
        <f>'Period GHE data'!F10-'Charging GHE Spilt per grade'!K11-'Charging GHE Spilt per grade'!K17-'Charging GHE Spilt per grade'!K23-'Charging GHE Spilt per grade'!K29-'Charging GHE Spilt per grade'!K35</f>
        <v>0</v>
      </c>
      <c r="L41" s="143"/>
      <c r="M41" s="149">
        <f>'Period GHE data'!G10-'Charging GHE Spilt per grade'!M11-'Charging GHE Spilt per grade'!M17-'Charging GHE Spilt per grade'!M23-'Charging GHE Spilt per grade'!M29-'Charging GHE Spilt per grade'!M35</f>
        <v>0</v>
      </c>
      <c r="N41" s="143"/>
      <c r="O41" s="149">
        <f>'Period GHE data'!H10-'Charging GHE Spilt per grade'!O11-'Charging GHE Spilt per grade'!O17-'Charging GHE Spilt per grade'!O23-'Charging GHE Spilt per grade'!O29-'Charging GHE Spilt per grade'!O35</f>
        <v>0</v>
      </c>
      <c r="P41" s="143"/>
      <c r="Q41" s="149">
        <f>'Period GHE data'!I10-'Charging GHE Spilt per grade'!Q11-'Charging GHE Spilt per grade'!Q17-'Charging GHE Spilt per grade'!Q23-'Charging GHE Spilt per grade'!Q29-'Charging GHE Spilt per grade'!Q35</f>
        <v>0</v>
      </c>
      <c r="R41" s="143"/>
      <c r="S41" s="149">
        <f>'Period GHE data'!J10-'Charging GHE Spilt per grade'!S11-'Charging GHE Spilt per grade'!S17-'Charging GHE Spilt per grade'!S23-'Charging GHE Spilt per grade'!S29-'Charging GHE Spilt per grade'!S35</f>
        <v>0</v>
      </c>
      <c r="T41" s="143"/>
      <c r="U41" s="149">
        <f>'Period GHE data'!K10-'Charging GHE Spilt per grade'!U11-'Charging GHE Spilt per grade'!U17-'Charging GHE Spilt per grade'!U23-'Charging GHE Spilt per grade'!U29-'Charging GHE Spilt per grade'!U35</f>
        <v>0</v>
      </c>
      <c r="V41" s="143"/>
      <c r="W41" s="149">
        <f>'Period GHE data'!L10-'Charging GHE Spilt per grade'!W11-'Charging GHE Spilt per grade'!W17-'Charging GHE Spilt per grade'!W23-'Charging GHE Spilt per grade'!W29-'Charging GHE Spilt per grade'!W35</f>
        <v>0</v>
      </c>
      <c r="X41" s="143"/>
      <c r="Y41" s="149">
        <f>'Period GHE data'!M10-'Charging GHE Spilt per grade'!Y11-'Charging GHE Spilt per grade'!Y17-'Charging GHE Spilt per grade'!Y23-'Charging GHE Spilt per grade'!Y29-'Charging GHE Spilt per grade'!Y35</f>
        <v>0</v>
      </c>
      <c r="Z41" s="143"/>
      <c r="AA41" s="149">
        <f>'Period GHE data'!N10-'Charging GHE Spilt per grade'!AA11-'Charging GHE Spilt per grade'!AA17-'Charging GHE Spilt per grade'!AA23-'Charging GHE Spilt per grade'!AA29-'Charging GHE Spilt per grade'!AA35</f>
        <v>0</v>
      </c>
      <c r="AB41" s="143"/>
      <c r="AC41" s="149">
        <f>'Period GHE data'!O10-'Charging GHE Spilt per grade'!AC11-'Charging GHE Spilt per grade'!AC17-'Charging GHE Spilt per grade'!AC23-'Charging GHE Spilt per grade'!AC29-'Charging GHE Spilt per grade'!AC35</f>
        <v>0</v>
      </c>
      <c r="AD41" s="136">
        <f t="shared" si="1"/>
        <v>0</v>
      </c>
    </row>
    <row r="43" spans="1:30" x14ac:dyDescent="0.35">
      <c r="G43" s="150">
        <f t="shared" ref="G43:G48" si="21">G6+G12+G18+G24+G30+G36</f>
        <v>0</v>
      </c>
      <c r="I43" s="150">
        <f t="shared" ref="I43:I48" si="22">I6+I12+I18+I24+I30+I36</f>
        <v>0</v>
      </c>
      <c r="J43" s="136"/>
      <c r="K43" s="150">
        <f t="shared" ref="K43:K48" si="23">K6+K12+K18+K24+K30+K36</f>
        <v>0</v>
      </c>
      <c r="L43" s="136"/>
      <c r="M43" s="150">
        <f t="shared" ref="M43:M48" si="24">M6+M12+M18+M24+M30+M36</f>
        <v>0</v>
      </c>
      <c r="O43" s="150">
        <f t="shared" ref="O43:O48" si="25">O6+O12+O18+O24+O30+O36</f>
        <v>0</v>
      </c>
      <c r="Q43" s="150">
        <f t="shared" ref="Q43:Q48" si="26">Q6+Q12+Q18+Q24+Q30+Q36</f>
        <v>0</v>
      </c>
      <c r="S43" s="150">
        <f t="shared" ref="S43:S48" si="27">S6+S12+S18+S24+S30+S36</f>
        <v>0</v>
      </c>
      <c r="U43" s="150">
        <f t="shared" ref="U43:U48" si="28">U6+U12+U18+U24+U30+U36</f>
        <v>0</v>
      </c>
      <c r="W43" s="150">
        <f t="shared" ref="W43:W48" si="29">W6+W12+W18+W24+W30+W36</f>
        <v>0</v>
      </c>
      <c r="Y43" s="150">
        <f t="shared" ref="Y43:Y48" si="30">Y6+Y12+Y18+Y24+Y30+Y36</f>
        <v>0</v>
      </c>
      <c r="AA43" s="150">
        <f t="shared" ref="AA43:AA48" si="31">AA6+AA12+AA18+AA24+AA30+AA36</f>
        <v>0</v>
      </c>
      <c r="AC43" s="150">
        <f t="shared" ref="AC43:AC48" si="32">AC6+AC12+AC18+AC24+AC30+AC36</f>
        <v>0</v>
      </c>
    </row>
    <row r="44" spans="1:30" x14ac:dyDescent="0.35">
      <c r="G44" s="151">
        <f t="shared" si="21"/>
        <v>0</v>
      </c>
      <c r="I44" s="151">
        <f t="shared" si="22"/>
        <v>0</v>
      </c>
      <c r="J44" s="136"/>
      <c r="K44" s="151">
        <f t="shared" si="23"/>
        <v>0</v>
      </c>
      <c r="L44" s="136"/>
      <c r="M44" s="151">
        <f t="shared" si="24"/>
        <v>0</v>
      </c>
      <c r="O44" s="151">
        <f t="shared" si="25"/>
        <v>0</v>
      </c>
      <c r="Q44" s="151">
        <f t="shared" si="26"/>
        <v>0</v>
      </c>
      <c r="S44" s="151">
        <f t="shared" si="27"/>
        <v>0</v>
      </c>
      <c r="U44" s="151">
        <f t="shared" si="28"/>
        <v>0</v>
      </c>
      <c r="W44" s="151">
        <f t="shared" si="29"/>
        <v>0</v>
      </c>
      <c r="Y44" s="151">
        <f t="shared" si="30"/>
        <v>0</v>
      </c>
      <c r="AA44" s="151">
        <f t="shared" si="31"/>
        <v>0</v>
      </c>
      <c r="AC44" s="151">
        <f t="shared" si="32"/>
        <v>0</v>
      </c>
    </row>
    <row r="45" spans="1:30" x14ac:dyDescent="0.35">
      <c r="G45" s="152">
        <f t="shared" si="21"/>
        <v>0</v>
      </c>
      <c r="I45" s="152">
        <f t="shared" si="22"/>
        <v>0</v>
      </c>
      <c r="J45" s="136"/>
      <c r="K45" s="152">
        <f t="shared" si="23"/>
        <v>0</v>
      </c>
      <c r="L45" s="136"/>
      <c r="M45" s="152">
        <f t="shared" si="24"/>
        <v>0</v>
      </c>
      <c r="O45" s="152">
        <f t="shared" si="25"/>
        <v>0</v>
      </c>
      <c r="Q45" s="152">
        <f t="shared" si="26"/>
        <v>0</v>
      </c>
      <c r="S45" s="152">
        <f t="shared" si="27"/>
        <v>0</v>
      </c>
      <c r="U45" s="152">
        <f t="shared" si="28"/>
        <v>0</v>
      </c>
      <c r="W45" s="152">
        <f t="shared" si="29"/>
        <v>0</v>
      </c>
      <c r="Y45" s="152">
        <f t="shared" si="30"/>
        <v>0</v>
      </c>
      <c r="AA45" s="152">
        <f t="shared" si="31"/>
        <v>0</v>
      </c>
      <c r="AC45" s="152">
        <f t="shared" si="32"/>
        <v>0</v>
      </c>
    </row>
    <row r="46" spans="1:30" x14ac:dyDescent="0.35">
      <c r="G46" s="153">
        <f t="shared" si="21"/>
        <v>0</v>
      </c>
      <c r="I46" s="153">
        <f t="shared" si="22"/>
        <v>0</v>
      </c>
      <c r="J46" s="136"/>
      <c r="K46" s="153">
        <f t="shared" si="23"/>
        <v>0</v>
      </c>
      <c r="L46" s="136"/>
      <c r="M46" s="153">
        <f t="shared" si="24"/>
        <v>0</v>
      </c>
      <c r="O46" s="153">
        <f t="shared" si="25"/>
        <v>0</v>
      </c>
      <c r="Q46" s="153">
        <f t="shared" si="26"/>
        <v>0</v>
      </c>
      <c r="S46" s="153">
        <f t="shared" si="27"/>
        <v>0</v>
      </c>
      <c r="U46" s="153">
        <f t="shared" si="28"/>
        <v>0</v>
      </c>
      <c r="W46" s="153">
        <f t="shared" si="29"/>
        <v>0</v>
      </c>
      <c r="Y46" s="153">
        <f t="shared" si="30"/>
        <v>0</v>
      </c>
      <c r="AA46" s="153">
        <f t="shared" si="31"/>
        <v>0</v>
      </c>
      <c r="AC46" s="153">
        <f t="shared" si="32"/>
        <v>0</v>
      </c>
    </row>
    <row r="47" spans="1:30" x14ac:dyDescent="0.35">
      <c r="G47" s="154">
        <f t="shared" si="21"/>
        <v>0</v>
      </c>
      <c r="I47" s="154">
        <f t="shared" si="22"/>
        <v>0</v>
      </c>
      <c r="J47" s="136"/>
      <c r="K47" s="154">
        <f t="shared" si="23"/>
        <v>0</v>
      </c>
      <c r="L47" s="136"/>
      <c r="M47" s="154">
        <f t="shared" si="24"/>
        <v>0</v>
      </c>
      <c r="O47" s="154">
        <f t="shared" si="25"/>
        <v>0</v>
      </c>
      <c r="Q47" s="154">
        <f t="shared" si="26"/>
        <v>0</v>
      </c>
      <c r="S47" s="154">
        <f t="shared" si="27"/>
        <v>0</v>
      </c>
      <c r="U47" s="154">
        <f t="shared" si="28"/>
        <v>0</v>
      </c>
      <c r="W47" s="154">
        <f t="shared" si="29"/>
        <v>0</v>
      </c>
      <c r="Y47" s="154">
        <f t="shared" si="30"/>
        <v>0</v>
      </c>
      <c r="AA47" s="154">
        <f t="shared" si="31"/>
        <v>0</v>
      </c>
      <c r="AC47" s="154">
        <f t="shared" si="32"/>
        <v>0</v>
      </c>
    </row>
    <row r="48" spans="1:30" x14ac:dyDescent="0.35">
      <c r="G48" s="155">
        <f t="shared" si="21"/>
        <v>0</v>
      </c>
      <c r="I48" s="155">
        <f t="shared" si="22"/>
        <v>0</v>
      </c>
      <c r="J48" s="136"/>
      <c r="K48" s="155">
        <f t="shared" si="23"/>
        <v>0</v>
      </c>
      <c r="L48" s="136"/>
      <c r="M48" s="155">
        <f t="shared" si="24"/>
        <v>0</v>
      </c>
      <c r="O48" s="155">
        <f t="shared" si="25"/>
        <v>0</v>
      </c>
      <c r="Q48" s="155">
        <f t="shared" si="26"/>
        <v>0</v>
      </c>
      <c r="S48" s="155">
        <f t="shared" si="27"/>
        <v>0</v>
      </c>
      <c r="U48" s="155">
        <f t="shared" si="28"/>
        <v>0</v>
      </c>
      <c r="W48" s="155">
        <f t="shared" si="29"/>
        <v>0</v>
      </c>
      <c r="Y48" s="155">
        <f t="shared" si="30"/>
        <v>0</v>
      </c>
      <c r="AA48" s="155">
        <f t="shared" si="31"/>
        <v>0</v>
      </c>
      <c r="AC48" s="155">
        <f t="shared" si="32"/>
        <v>0</v>
      </c>
    </row>
  </sheetData>
  <sheetProtection algorithmName="SHA-512" hashValue="eAd2S/+OMbANAuRTFrMwKU5FInDpyHT0WIomBpwWQZQZIUyFbor+650kdbjT5CBhYtpDOTwecsh+X5PEmM5yTA==" saltValue="LqY5TVKXHWRYVCTPVDcNFQ==" spinCount="100000" sheet="1" objects="1" scenarios="1"/>
  <mergeCells count="16">
    <mergeCell ref="AB4:AC4"/>
    <mergeCell ref="F3:AC3"/>
    <mergeCell ref="A4:A5"/>
    <mergeCell ref="B4:B5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E4:E5"/>
  </mergeCells>
  <pageMargins left="0.7" right="0.7" top="0.75" bottom="0.75" header="0.3" footer="0.3"/>
  <pageSetup paperSize="9" orientation="landscape" r:id="rId1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0.59999389629810485"/>
  </sheetPr>
  <dimension ref="A1:S44"/>
  <sheetViews>
    <sheetView showGridLines="0" topLeftCell="A17" zoomScaleNormal="100" workbookViewId="0">
      <selection activeCell="E42" sqref="E42"/>
    </sheetView>
  </sheetViews>
  <sheetFormatPr defaultRowHeight="15.5" x14ac:dyDescent="0.35"/>
  <cols>
    <col min="1" max="1" width="4.4609375" bestFit="1" customWidth="1"/>
    <col min="2" max="2" width="6.84375" bestFit="1" customWidth="1"/>
    <col min="3" max="3" width="9.07421875" customWidth="1"/>
    <col min="4" max="4" width="5.84375" style="26" bestFit="1" customWidth="1"/>
    <col min="5" max="5" width="12.4609375" style="26" bestFit="1" customWidth="1"/>
    <col min="6" max="6" width="12.4609375" customWidth="1"/>
    <col min="7" max="7" width="11" bestFit="1" customWidth="1"/>
    <col min="8" max="11" width="13.53515625" bestFit="1" customWidth="1"/>
    <col min="12" max="17" width="10" bestFit="1" customWidth="1"/>
    <col min="18" max="18" width="11" bestFit="1" customWidth="1"/>
    <col min="19" max="19" width="10.84375" bestFit="1" customWidth="1"/>
  </cols>
  <sheetData>
    <row r="1" spans="1:18" ht="15" customHeight="1" x14ac:dyDescent="0.35">
      <c r="A1" s="205" t="s">
        <v>87</v>
      </c>
      <c r="B1" s="205" t="s">
        <v>83</v>
      </c>
      <c r="C1" s="205" t="s">
        <v>19</v>
      </c>
      <c r="D1" s="212" t="s">
        <v>102</v>
      </c>
      <c r="E1" s="212" t="s">
        <v>84</v>
      </c>
      <c r="F1" s="4"/>
      <c r="G1" s="211" t="s">
        <v>112</v>
      </c>
      <c r="H1" s="211" t="s">
        <v>113</v>
      </c>
      <c r="I1" s="211" t="s">
        <v>114</v>
      </c>
      <c r="J1" s="211" t="s">
        <v>115</v>
      </c>
      <c r="K1" s="211" t="s">
        <v>116</v>
      </c>
      <c r="L1" s="211" t="s">
        <v>117</v>
      </c>
      <c r="M1" s="211" t="s">
        <v>118</v>
      </c>
      <c r="N1" s="211" t="s">
        <v>119</v>
      </c>
      <c r="O1" s="211" t="s">
        <v>120</v>
      </c>
      <c r="P1" s="211" t="s">
        <v>121</v>
      </c>
      <c r="Q1" s="211" t="s">
        <v>122</v>
      </c>
    </row>
    <row r="2" spans="1:18" x14ac:dyDescent="0.35">
      <c r="A2" s="206"/>
      <c r="B2" s="206"/>
      <c r="C2" s="206"/>
      <c r="D2" s="213"/>
      <c r="E2" s="213"/>
      <c r="F2" s="5" t="s">
        <v>123</v>
      </c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</row>
    <row r="3" spans="1:18" x14ac:dyDescent="0.35">
      <c r="A3" s="131">
        <v>1</v>
      </c>
      <c r="B3" s="156">
        <f>'Charging GHE Spilt per grade'!B6</f>
        <v>0.9</v>
      </c>
      <c r="C3" s="10" t="str">
        <f>'Charging GHE Spilt per grade'!C6</f>
        <v>OV Single</v>
      </c>
      <c r="D3" s="25">
        <f>'Charging GHE Spilt per grade'!D6</f>
        <v>65.900000000000006</v>
      </c>
      <c r="E3" s="25">
        <f>D3-'Charging GHE Spilt per grade'!E6</f>
        <v>6.5899999999999963</v>
      </c>
      <c r="F3" s="13">
        <f>'Charging GHE Spilt per grade'!G6*E3</f>
        <v>0</v>
      </c>
      <c r="G3" s="13">
        <f>'Charging GHE Spilt per grade'!I6*E3</f>
        <v>0</v>
      </c>
      <c r="H3" s="13">
        <f>'Charging GHE Spilt per grade'!K6*E3</f>
        <v>0</v>
      </c>
      <c r="I3" s="13">
        <f>'Charging GHE Spilt per grade'!M6*E3</f>
        <v>0</v>
      </c>
      <c r="J3" s="13">
        <f>'Charging GHE Spilt per grade'!O6*E3</f>
        <v>0</v>
      </c>
      <c r="K3" s="13">
        <f>'Charging GHE Spilt per grade'!Q6*E3</f>
        <v>0</v>
      </c>
      <c r="L3" s="13">
        <f>'Charging GHE Spilt per grade'!S6*E3</f>
        <v>0</v>
      </c>
      <c r="M3" s="13">
        <f>'Charging GHE Spilt per grade'!U6*E3</f>
        <v>0</v>
      </c>
      <c r="N3" s="13">
        <f>'Charging GHE Spilt per grade'!W6*E3</f>
        <v>0</v>
      </c>
      <c r="O3" s="13">
        <f>'Charging GHE Spilt per grade'!Y6*E3</f>
        <v>0</v>
      </c>
      <c r="P3" s="13">
        <f>'Charging GHE Spilt per grade'!AA6*E3</f>
        <v>0</v>
      </c>
      <c r="Q3" s="13">
        <f>'Charging GHE Spilt per grade'!AC6*E3</f>
        <v>0</v>
      </c>
      <c r="R3" s="15">
        <f>SUM(F3:Q3)</f>
        <v>0</v>
      </c>
    </row>
    <row r="4" spans="1:18" x14ac:dyDescent="0.35">
      <c r="A4" s="131"/>
      <c r="B4" s="156"/>
      <c r="C4" s="10" t="str">
        <f>'Charging GHE Spilt per grade'!C7</f>
        <v>OV 1.5</v>
      </c>
      <c r="D4" s="25">
        <f>'Charging GHE Spilt per grade'!D7</f>
        <v>98.850000000000009</v>
      </c>
      <c r="E4" s="25">
        <f>D4-'Charging GHE Spilt per grade'!E7</f>
        <v>9.8850000000000051</v>
      </c>
      <c r="F4" s="13">
        <f>'Charging GHE Spilt per grade'!G7*E4</f>
        <v>0</v>
      </c>
      <c r="G4" s="13">
        <f>'Charging GHE Spilt per grade'!I7*E4</f>
        <v>0</v>
      </c>
      <c r="H4" s="13">
        <f>'Charging GHE Spilt per grade'!K7*E4</f>
        <v>0</v>
      </c>
      <c r="I4" s="13">
        <f>'Charging GHE Spilt per grade'!M7*E4</f>
        <v>0</v>
      </c>
      <c r="J4" s="13">
        <f>'Charging GHE Spilt per grade'!O7*E4</f>
        <v>0</v>
      </c>
      <c r="K4" s="13">
        <f>'Charging GHE Spilt per grade'!Q7*E4</f>
        <v>0</v>
      </c>
      <c r="L4" s="13">
        <f>'Charging GHE Spilt per grade'!S7*E4</f>
        <v>0</v>
      </c>
      <c r="M4" s="13">
        <f>'Charging GHE Spilt per grade'!U7*E4</f>
        <v>0</v>
      </c>
      <c r="N4" s="13">
        <f>'Charging GHE Spilt per grade'!W7*E4</f>
        <v>0</v>
      </c>
      <c r="O4" s="13">
        <f>'Charging GHE Spilt per grade'!Y7*E4</f>
        <v>0</v>
      </c>
      <c r="P4" s="13">
        <f>'Charging GHE Spilt per grade'!AA7*E4</f>
        <v>0</v>
      </c>
      <c r="Q4" s="13">
        <f>'Charging GHE Spilt per grade'!AC7*E4</f>
        <v>0</v>
      </c>
      <c r="R4" s="15">
        <f t="shared" ref="R4:R38" si="0">SUM(F4:Q4)</f>
        <v>0</v>
      </c>
    </row>
    <row r="5" spans="1:18" x14ac:dyDescent="0.35">
      <c r="A5" s="131"/>
      <c r="B5" s="156"/>
      <c r="C5" s="10" t="str">
        <f>'Charging GHE Spilt per grade'!C8</f>
        <v>OV Dbl</v>
      </c>
      <c r="D5" s="25">
        <f>'Charging GHE Spilt per grade'!D8</f>
        <v>131.80000000000001</v>
      </c>
      <c r="E5" s="25">
        <f>D5-'Charging GHE Spilt per grade'!E8</f>
        <v>13.179999999999993</v>
      </c>
      <c r="F5" s="13">
        <f>'Charging GHE Spilt per grade'!G8*E5</f>
        <v>0</v>
      </c>
      <c r="G5" s="13">
        <f>'Charging GHE Spilt per grade'!I8*E5</f>
        <v>0</v>
      </c>
      <c r="H5" s="13">
        <f>'Charging GHE Spilt per grade'!K8*E5</f>
        <v>0</v>
      </c>
      <c r="I5" s="13">
        <f>'Charging GHE Spilt per grade'!M8*E5</f>
        <v>0</v>
      </c>
      <c r="J5" s="13">
        <f>'Charging GHE Spilt per grade'!O8*E5</f>
        <v>0</v>
      </c>
      <c r="K5" s="13">
        <f>'Charging GHE Spilt per grade'!Q8*E5</f>
        <v>0</v>
      </c>
      <c r="L5" s="13">
        <f>'Charging GHE Spilt per grade'!S8*E5</f>
        <v>0</v>
      </c>
      <c r="M5" s="13">
        <f>'Charging GHE Spilt per grade'!U8*E5</f>
        <v>0</v>
      </c>
      <c r="N5" s="13">
        <f>'Charging GHE Spilt per grade'!W8*E5</f>
        <v>0</v>
      </c>
      <c r="O5" s="13">
        <f>'Charging GHE Spilt per grade'!Y8*E5</f>
        <v>0</v>
      </c>
      <c r="P5" s="13">
        <f>'Charging GHE Spilt per grade'!AA8*E5</f>
        <v>0</v>
      </c>
      <c r="Q5" s="13">
        <f>'Charging GHE Spilt per grade'!AC8*E5</f>
        <v>0</v>
      </c>
      <c r="R5" s="15">
        <f t="shared" si="0"/>
        <v>0</v>
      </c>
    </row>
    <row r="6" spans="1:18" x14ac:dyDescent="0.35">
      <c r="A6" s="131"/>
      <c r="B6" s="156"/>
      <c r="C6" s="10" t="str">
        <f>'Charging GHE Spilt per grade'!C9</f>
        <v>SMI Single</v>
      </c>
      <c r="D6" s="25">
        <f>'Charging GHE Spilt per grade'!D9</f>
        <v>43.2</v>
      </c>
      <c r="E6" s="25">
        <f>D6-'Charging GHE Spilt per grade'!E9</f>
        <v>4.32</v>
      </c>
      <c r="F6" s="13">
        <f>'Charging GHE Spilt per grade'!G9*E6</f>
        <v>0</v>
      </c>
      <c r="G6" s="13">
        <f>'Charging GHE Spilt per grade'!I9*E6</f>
        <v>0</v>
      </c>
      <c r="H6" s="13">
        <f>'Charging GHE Spilt per grade'!K9*E6</f>
        <v>0</v>
      </c>
      <c r="I6" s="13">
        <f>'Charging GHE Spilt per grade'!M9*E6</f>
        <v>0</v>
      </c>
      <c r="J6" s="13">
        <f>'Charging GHE Spilt per grade'!O9*E6</f>
        <v>0</v>
      </c>
      <c r="K6" s="13">
        <f>'Charging GHE Spilt per grade'!Q9*E6</f>
        <v>0</v>
      </c>
      <c r="L6" s="13">
        <f>'Charging GHE Spilt per grade'!S9*E6</f>
        <v>0</v>
      </c>
      <c r="M6" s="13">
        <f>'Charging GHE Spilt per grade'!U9*E6</f>
        <v>0</v>
      </c>
      <c r="N6" s="13">
        <f>'Charging GHE Spilt per grade'!W9*E6</f>
        <v>0</v>
      </c>
      <c r="O6" s="13">
        <f>'Charging GHE Spilt per grade'!Y9*E6</f>
        <v>0</v>
      </c>
      <c r="P6" s="13">
        <f>'Charging GHE Spilt per grade'!AA9*E6</f>
        <v>0</v>
      </c>
      <c r="Q6" s="13">
        <f>'Charging GHE Spilt per grade'!AC9*E6</f>
        <v>0</v>
      </c>
      <c r="R6" s="15">
        <f t="shared" si="0"/>
        <v>0</v>
      </c>
    </row>
    <row r="7" spans="1:18" x14ac:dyDescent="0.35">
      <c r="A7" s="131"/>
      <c r="B7" s="156"/>
      <c r="C7" s="10" t="str">
        <f>'Charging GHE Spilt per grade'!C10</f>
        <v>SMI 1.5</v>
      </c>
      <c r="D7" s="25">
        <f>'Charging GHE Spilt per grade'!D10</f>
        <v>64.800000000000011</v>
      </c>
      <c r="E7" s="25">
        <f>D7-'Charging GHE Spilt per grade'!E10</f>
        <v>6.4799999999999969</v>
      </c>
      <c r="F7" s="13">
        <f>'Charging GHE Spilt per grade'!G10*E7</f>
        <v>0</v>
      </c>
      <c r="G7" s="13">
        <f>'Charging GHE Spilt per grade'!I10*E7</f>
        <v>0</v>
      </c>
      <c r="H7" s="13">
        <f>'Charging GHE Spilt per grade'!K10*E7</f>
        <v>0</v>
      </c>
      <c r="I7" s="13">
        <f>'Charging GHE Spilt per grade'!M10*E7</f>
        <v>0</v>
      </c>
      <c r="J7" s="13">
        <f>'Charging GHE Spilt per grade'!O10*E7</f>
        <v>0</v>
      </c>
      <c r="K7" s="13">
        <f>'Charging GHE Spilt per grade'!Q10*E7</f>
        <v>0</v>
      </c>
      <c r="L7" s="13">
        <f>'Charging GHE Spilt per grade'!S10*E7</f>
        <v>0</v>
      </c>
      <c r="M7" s="13">
        <f>'Charging GHE Spilt per grade'!U10*E7</f>
        <v>0</v>
      </c>
      <c r="N7" s="13">
        <f>'Charging GHE Spilt per grade'!W10*E7</f>
        <v>0</v>
      </c>
      <c r="O7" s="13">
        <f>'Charging GHE Spilt per grade'!Y10*E7</f>
        <v>0</v>
      </c>
      <c r="P7" s="13">
        <f>'Charging GHE Spilt per grade'!AA10*E7</f>
        <v>0</v>
      </c>
      <c r="Q7" s="13">
        <f>'Charging GHE Spilt per grade'!AC10*E7</f>
        <v>0</v>
      </c>
      <c r="R7" s="15">
        <f t="shared" si="0"/>
        <v>0</v>
      </c>
    </row>
    <row r="8" spans="1:18" x14ac:dyDescent="0.35">
      <c r="A8" s="131"/>
      <c r="B8" s="156"/>
      <c r="C8" s="10" t="str">
        <f>'Charging GHE Spilt per grade'!C11</f>
        <v>SMI Dbl</v>
      </c>
      <c r="D8" s="25">
        <f>'Charging GHE Spilt per grade'!D11</f>
        <v>86.4</v>
      </c>
      <c r="E8" s="25">
        <f>D8-'Charging GHE Spilt per grade'!E11</f>
        <v>8.64</v>
      </c>
      <c r="F8" s="13">
        <f>'Charging GHE Spilt per grade'!G11*E8</f>
        <v>0</v>
      </c>
      <c r="G8" s="13">
        <f>'Charging GHE Spilt per grade'!I11*E8</f>
        <v>0</v>
      </c>
      <c r="H8" s="13">
        <f>'Charging GHE Spilt per grade'!K11*E8</f>
        <v>0</v>
      </c>
      <c r="I8" s="13">
        <f>'Charging GHE Spilt per grade'!M11*E8</f>
        <v>0</v>
      </c>
      <c r="J8" s="13">
        <f>'Charging GHE Spilt per grade'!O11*E8</f>
        <v>0</v>
      </c>
      <c r="K8" s="13">
        <f>'Charging GHE Spilt per grade'!Q11*E8</f>
        <v>0</v>
      </c>
      <c r="L8" s="13">
        <f>'Charging GHE Spilt per grade'!S11*E8</f>
        <v>0</v>
      </c>
      <c r="M8" s="13">
        <f>'Charging GHE Spilt per grade'!U11*E8</f>
        <v>0</v>
      </c>
      <c r="N8" s="13">
        <f>'Charging GHE Spilt per grade'!W11*E8</f>
        <v>0</v>
      </c>
      <c r="O8" s="13">
        <f>'Charging GHE Spilt per grade'!Y11*E8</f>
        <v>0</v>
      </c>
      <c r="P8" s="13">
        <f>'Charging GHE Spilt per grade'!AA11*E8</f>
        <v>0</v>
      </c>
      <c r="Q8" s="13">
        <f>'Charging GHE Spilt per grade'!AC11*E8</f>
        <v>0</v>
      </c>
      <c r="R8" s="15">
        <f t="shared" si="0"/>
        <v>0</v>
      </c>
    </row>
    <row r="9" spans="1:18" x14ac:dyDescent="0.35">
      <c r="A9" s="131">
        <v>2</v>
      </c>
      <c r="B9" s="156">
        <f>'Charging GHE Spilt per grade'!B12</f>
        <v>0.75</v>
      </c>
      <c r="C9" s="10" t="str">
        <f>'Charging GHE Spilt per grade'!C12</f>
        <v>OV Single</v>
      </c>
      <c r="D9" s="25">
        <f>'Charging GHE Spilt per grade'!D12</f>
        <v>65.900000000000006</v>
      </c>
      <c r="E9" s="25">
        <f>D9-'Charging GHE Spilt per grade'!E12</f>
        <v>16.475000000000001</v>
      </c>
      <c r="F9" s="13">
        <f>'Charging GHE Spilt per grade'!G12*E9</f>
        <v>0</v>
      </c>
      <c r="G9" s="13">
        <f>'Charging GHE Spilt per grade'!I12*E9</f>
        <v>0</v>
      </c>
      <c r="H9" s="13">
        <f>'Charging GHE Spilt per grade'!K12*E9</f>
        <v>0</v>
      </c>
      <c r="I9" s="13">
        <f>'Charging GHE Spilt per grade'!M12*E9</f>
        <v>0</v>
      </c>
      <c r="J9" s="13">
        <f>'Charging GHE Spilt per grade'!O12*E9</f>
        <v>0</v>
      </c>
      <c r="K9" s="13">
        <f>'Charging GHE Spilt per grade'!Q12*E9</f>
        <v>0</v>
      </c>
      <c r="L9" s="13">
        <f>'Charging GHE Spilt per grade'!S12*E9</f>
        <v>0</v>
      </c>
      <c r="M9" s="13">
        <f>'Charging GHE Spilt per grade'!U12*E9</f>
        <v>0</v>
      </c>
      <c r="N9" s="13">
        <f>'Charging GHE Spilt per grade'!W12*E9</f>
        <v>0</v>
      </c>
      <c r="O9" s="13">
        <f>'Charging GHE Spilt per grade'!Y12*E9</f>
        <v>0</v>
      </c>
      <c r="P9" s="13">
        <f>'Charging GHE Spilt per grade'!AA12*E9</f>
        <v>0</v>
      </c>
      <c r="Q9" s="13">
        <f>'Charging GHE Spilt per grade'!AC12*E9</f>
        <v>0</v>
      </c>
      <c r="R9" s="15">
        <f t="shared" si="0"/>
        <v>0</v>
      </c>
    </row>
    <row r="10" spans="1:18" x14ac:dyDescent="0.35">
      <c r="A10" s="131"/>
      <c r="B10" s="156"/>
      <c r="C10" s="10" t="str">
        <f>'Charging GHE Spilt per grade'!C13</f>
        <v>OV 1.5</v>
      </c>
      <c r="D10" s="25">
        <f>'Charging GHE Spilt per grade'!D13</f>
        <v>98.850000000000009</v>
      </c>
      <c r="E10" s="25">
        <f>D10-'Charging GHE Spilt per grade'!E13</f>
        <v>24.712500000000006</v>
      </c>
      <c r="F10" s="13">
        <f>'Charging GHE Spilt per grade'!G13*E10</f>
        <v>0</v>
      </c>
      <c r="G10" s="13">
        <f>'Charging GHE Spilt per grade'!I13*E10</f>
        <v>0</v>
      </c>
      <c r="H10" s="13">
        <f>'Charging GHE Spilt per grade'!K13*E10</f>
        <v>0</v>
      </c>
      <c r="I10" s="13">
        <f>'Charging GHE Spilt per grade'!M13*E10</f>
        <v>0</v>
      </c>
      <c r="J10" s="13">
        <f>'Charging GHE Spilt per grade'!O13*E10</f>
        <v>0</v>
      </c>
      <c r="K10" s="13">
        <f>'Charging GHE Spilt per grade'!Q13*E10</f>
        <v>0</v>
      </c>
      <c r="L10" s="13">
        <f>'Charging GHE Spilt per grade'!S13*E10</f>
        <v>0</v>
      </c>
      <c r="M10" s="13">
        <f>'Charging GHE Spilt per grade'!U13*E10</f>
        <v>0</v>
      </c>
      <c r="N10" s="13">
        <f>'Charging GHE Spilt per grade'!W13*E10</f>
        <v>0</v>
      </c>
      <c r="O10" s="13">
        <f>'Charging GHE Spilt per grade'!Y13*E10</f>
        <v>0</v>
      </c>
      <c r="P10" s="13">
        <f>'Charging GHE Spilt per grade'!AA13*E10</f>
        <v>0</v>
      </c>
      <c r="Q10" s="13">
        <f>'Charging GHE Spilt per grade'!AC13*E10</f>
        <v>0</v>
      </c>
      <c r="R10" s="15">
        <f t="shared" si="0"/>
        <v>0</v>
      </c>
    </row>
    <row r="11" spans="1:18" x14ac:dyDescent="0.35">
      <c r="A11" s="131"/>
      <c r="B11" s="156"/>
      <c r="C11" s="10" t="str">
        <f>'Charging GHE Spilt per grade'!C14</f>
        <v>OV Dbl</v>
      </c>
      <c r="D11" s="25">
        <f>'Charging GHE Spilt per grade'!D14</f>
        <v>131.80000000000001</v>
      </c>
      <c r="E11" s="25">
        <f>D11-'Charging GHE Spilt per grade'!E14</f>
        <v>32.950000000000003</v>
      </c>
      <c r="F11" s="13">
        <f>'Charging GHE Spilt per grade'!G14*E11</f>
        <v>0</v>
      </c>
      <c r="G11" s="13">
        <f>'Charging GHE Spilt per grade'!I14*E11</f>
        <v>0</v>
      </c>
      <c r="H11" s="13">
        <f>'Charging GHE Spilt per grade'!K14*E11</f>
        <v>0</v>
      </c>
      <c r="I11" s="13">
        <f>'Charging GHE Spilt per grade'!M14*E11</f>
        <v>0</v>
      </c>
      <c r="J11" s="13">
        <f>'Charging GHE Spilt per grade'!O14*E11</f>
        <v>0</v>
      </c>
      <c r="K11" s="13">
        <f>'Charging GHE Spilt per grade'!Q14*E11</f>
        <v>0</v>
      </c>
      <c r="L11" s="13">
        <f>'Charging GHE Spilt per grade'!S14*E11</f>
        <v>0</v>
      </c>
      <c r="M11" s="13">
        <f>'Charging GHE Spilt per grade'!U14*E11</f>
        <v>0</v>
      </c>
      <c r="N11" s="13">
        <f>'Charging GHE Spilt per grade'!W14*E11</f>
        <v>0</v>
      </c>
      <c r="O11" s="13">
        <f>'Charging GHE Spilt per grade'!Y14*E11</f>
        <v>0</v>
      </c>
      <c r="P11" s="13">
        <f>'Charging GHE Spilt per grade'!AA14*E11</f>
        <v>0</v>
      </c>
      <c r="Q11" s="13">
        <f>'Charging GHE Spilt per grade'!AC14*E11</f>
        <v>0</v>
      </c>
      <c r="R11" s="15">
        <f t="shared" si="0"/>
        <v>0</v>
      </c>
    </row>
    <row r="12" spans="1:18" x14ac:dyDescent="0.35">
      <c r="A12" s="131"/>
      <c r="B12" s="156"/>
      <c r="C12" s="10" t="str">
        <f>'Charging GHE Spilt per grade'!C15</f>
        <v>SMI Single</v>
      </c>
      <c r="D12" s="25">
        <f>'Charging GHE Spilt per grade'!D15</f>
        <v>43.2</v>
      </c>
      <c r="E12" s="25">
        <f>D12-'Charging GHE Spilt per grade'!E15</f>
        <v>10.799999999999997</v>
      </c>
      <c r="F12" s="13">
        <f>'Charging GHE Spilt per grade'!G15*E12</f>
        <v>0</v>
      </c>
      <c r="G12" s="13">
        <f>'Charging GHE Spilt per grade'!I15*E12</f>
        <v>0</v>
      </c>
      <c r="H12" s="13">
        <f>'Charging GHE Spilt per grade'!K15*E12</f>
        <v>0</v>
      </c>
      <c r="I12" s="13">
        <f>'Charging GHE Spilt per grade'!M15*E12</f>
        <v>0</v>
      </c>
      <c r="J12" s="13">
        <f>'Charging GHE Spilt per grade'!O15*E12</f>
        <v>0</v>
      </c>
      <c r="K12" s="13">
        <f>'Charging GHE Spilt per grade'!Q15*E12</f>
        <v>0</v>
      </c>
      <c r="L12" s="13">
        <f>'Charging GHE Spilt per grade'!S15*E12</f>
        <v>0</v>
      </c>
      <c r="M12" s="13">
        <f>'Charging GHE Spilt per grade'!U15*E12</f>
        <v>0</v>
      </c>
      <c r="N12" s="13">
        <f>'Charging GHE Spilt per grade'!W15*E12</f>
        <v>0</v>
      </c>
      <c r="O12" s="13">
        <f>'Charging GHE Spilt per grade'!Y15*E12</f>
        <v>0</v>
      </c>
      <c r="P12" s="13">
        <f>'Charging GHE Spilt per grade'!AA15*E12</f>
        <v>0</v>
      </c>
      <c r="Q12" s="13">
        <f>'Charging GHE Spilt per grade'!AC15*E12</f>
        <v>0</v>
      </c>
      <c r="R12" s="15">
        <f t="shared" si="0"/>
        <v>0</v>
      </c>
    </row>
    <row r="13" spans="1:18" x14ac:dyDescent="0.35">
      <c r="A13" s="131"/>
      <c r="B13" s="156"/>
      <c r="C13" s="10" t="str">
        <f>'Charging GHE Spilt per grade'!C16</f>
        <v>SMI 1.5</v>
      </c>
      <c r="D13" s="25">
        <f>'Charging GHE Spilt per grade'!D16</f>
        <v>64.800000000000011</v>
      </c>
      <c r="E13" s="25">
        <f>D13-'Charging GHE Spilt per grade'!E16</f>
        <v>16.200000000000003</v>
      </c>
      <c r="F13" s="13">
        <f>'Charging GHE Spilt per grade'!G16*E13</f>
        <v>0</v>
      </c>
      <c r="G13" s="13">
        <f>'Charging GHE Spilt per grade'!I16*E13</f>
        <v>0</v>
      </c>
      <c r="H13" s="13">
        <f>'Charging GHE Spilt per grade'!K16*E13</f>
        <v>0</v>
      </c>
      <c r="I13" s="13">
        <f>'Charging GHE Spilt per grade'!M16*E13</f>
        <v>0</v>
      </c>
      <c r="J13" s="13">
        <f>'Charging GHE Spilt per grade'!O16*E13</f>
        <v>0</v>
      </c>
      <c r="K13" s="13">
        <f>'Charging GHE Spilt per grade'!Q16*E13</f>
        <v>0</v>
      </c>
      <c r="L13" s="13">
        <f>'Charging GHE Spilt per grade'!S16*E13</f>
        <v>0</v>
      </c>
      <c r="M13" s="13">
        <f>'Charging GHE Spilt per grade'!U16*E13</f>
        <v>0</v>
      </c>
      <c r="N13" s="13">
        <f>'Charging GHE Spilt per grade'!W16*E13</f>
        <v>0</v>
      </c>
      <c r="O13" s="13">
        <f>'Charging GHE Spilt per grade'!Y16*E13</f>
        <v>0</v>
      </c>
      <c r="P13" s="13">
        <f>'Charging GHE Spilt per grade'!AA16*E13</f>
        <v>0</v>
      </c>
      <c r="Q13" s="13">
        <f>'Charging GHE Spilt per grade'!AC16*E13</f>
        <v>0</v>
      </c>
      <c r="R13" s="15">
        <f t="shared" si="0"/>
        <v>0</v>
      </c>
    </row>
    <row r="14" spans="1:18" x14ac:dyDescent="0.35">
      <c r="A14" s="131"/>
      <c r="B14" s="156"/>
      <c r="C14" s="10" t="str">
        <f>'Charging GHE Spilt per grade'!C17</f>
        <v>SMI Dbl</v>
      </c>
      <c r="D14" s="25">
        <f>'Charging GHE Spilt per grade'!D17</f>
        <v>86.4</v>
      </c>
      <c r="E14" s="25">
        <f>D14-'Charging GHE Spilt per grade'!E17</f>
        <v>21.599999999999994</v>
      </c>
      <c r="F14" s="13">
        <f>'Charging GHE Spilt per grade'!G17*E14</f>
        <v>0</v>
      </c>
      <c r="G14" s="13">
        <f>'Charging GHE Spilt per grade'!I17*E14</f>
        <v>0</v>
      </c>
      <c r="H14" s="13">
        <f>'Charging GHE Spilt per grade'!K17*E14</f>
        <v>0</v>
      </c>
      <c r="I14" s="13">
        <f>'Charging GHE Spilt per grade'!M17*E14</f>
        <v>0</v>
      </c>
      <c r="J14" s="13">
        <f>'Charging GHE Spilt per grade'!O17*E14</f>
        <v>0</v>
      </c>
      <c r="K14" s="13">
        <f>'Charging GHE Spilt per grade'!Q17*E14</f>
        <v>0</v>
      </c>
      <c r="L14" s="13">
        <f>'Charging GHE Spilt per grade'!S17*E14</f>
        <v>0</v>
      </c>
      <c r="M14" s="13">
        <f>'Charging GHE Spilt per grade'!U17*E14</f>
        <v>0</v>
      </c>
      <c r="N14" s="13">
        <f>'Charging GHE Spilt per grade'!W17*E14</f>
        <v>0</v>
      </c>
      <c r="O14" s="13">
        <f>'Charging GHE Spilt per grade'!Y17*E14</f>
        <v>0</v>
      </c>
      <c r="P14" s="13">
        <f>'Charging GHE Spilt per grade'!AA17*E14</f>
        <v>0</v>
      </c>
      <c r="Q14" s="13">
        <f>'Charging GHE Spilt per grade'!AC17*E14</f>
        <v>0</v>
      </c>
      <c r="R14" s="15">
        <f t="shared" si="0"/>
        <v>0</v>
      </c>
    </row>
    <row r="15" spans="1:18" x14ac:dyDescent="0.35">
      <c r="A15" s="131">
        <v>3</v>
      </c>
      <c r="B15" s="156">
        <f>'Charging GHE Spilt per grade'!B18</f>
        <v>0.17</v>
      </c>
      <c r="C15" s="10" t="str">
        <f>'Charging GHE Spilt per grade'!C18</f>
        <v>OV Single</v>
      </c>
      <c r="D15" s="25">
        <f>'Charging GHE Spilt per grade'!D18</f>
        <v>65.900000000000006</v>
      </c>
      <c r="E15" s="25">
        <f>D15-'Charging GHE Spilt per grade'!E18</f>
        <v>54.697000000000003</v>
      </c>
      <c r="F15" s="13">
        <f>'Charging GHE Spilt per grade'!G18*E15</f>
        <v>0</v>
      </c>
      <c r="G15" s="13">
        <f>'Charging GHE Spilt per grade'!I18*E15</f>
        <v>0</v>
      </c>
      <c r="H15" s="13">
        <f>'Charging GHE Spilt per grade'!K18*E15</f>
        <v>0</v>
      </c>
      <c r="I15" s="13">
        <f>'Charging GHE Spilt per grade'!M18*E15</f>
        <v>0</v>
      </c>
      <c r="J15" s="13">
        <f>'Charging GHE Spilt per grade'!O18*E15</f>
        <v>0</v>
      </c>
      <c r="K15" s="13">
        <f>'Charging GHE Spilt per grade'!Q18*E15</f>
        <v>0</v>
      </c>
      <c r="L15" s="13">
        <f>'Charging GHE Spilt per grade'!S18*E15</f>
        <v>0</v>
      </c>
      <c r="M15" s="13">
        <f>'Charging GHE Spilt per grade'!U18*E15</f>
        <v>0</v>
      </c>
      <c r="N15" s="13">
        <f>'Charging GHE Spilt per grade'!W18*E15</f>
        <v>0</v>
      </c>
      <c r="O15" s="13">
        <f>'Charging GHE Spilt per grade'!Y18*E15</f>
        <v>0</v>
      </c>
      <c r="P15" s="13">
        <f>'Charging GHE Spilt per grade'!AA18*E15</f>
        <v>0</v>
      </c>
      <c r="Q15" s="13">
        <f>'Charging GHE Spilt per grade'!AC18*E15</f>
        <v>0</v>
      </c>
      <c r="R15" s="15">
        <f t="shared" si="0"/>
        <v>0</v>
      </c>
    </row>
    <row r="16" spans="1:18" x14ac:dyDescent="0.35">
      <c r="A16" s="131"/>
      <c r="B16" s="156"/>
      <c r="C16" s="10" t="str">
        <f>'Charging GHE Spilt per grade'!C19</f>
        <v>OV 1.5</v>
      </c>
      <c r="D16" s="25">
        <f>'Charging GHE Spilt per grade'!D19</f>
        <v>98.850000000000009</v>
      </c>
      <c r="E16" s="25">
        <f>D16-'Charging GHE Spilt per grade'!E19</f>
        <v>82.045500000000004</v>
      </c>
      <c r="F16" s="13">
        <f>'Charging GHE Spilt per grade'!G19*E16</f>
        <v>0</v>
      </c>
      <c r="G16" s="13">
        <f>'Charging GHE Spilt per grade'!I19*E16</f>
        <v>0</v>
      </c>
      <c r="H16" s="13">
        <f>'Charging GHE Spilt per grade'!K19*E16</f>
        <v>0</v>
      </c>
      <c r="I16" s="13">
        <f>'Charging GHE Spilt per grade'!M19*E16</f>
        <v>0</v>
      </c>
      <c r="J16" s="13">
        <f>'Charging GHE Spilt per grade'!O19*E16</f>
        <v>0</v>
      </c>
      <c r="K16" s="13">
        <f>'Charging GHE Spilt per grade'!Q19*E16</f>
        <v>0</v>
      </c>
      <c r="L16" s="13">
        <f>'Charging GHE Spilt per grade'!S19*E16</f>
        <v>0</v>
      </c>
      <c r="M16" s="13">
        <f>'Charging GHE Spilt per grade'!U19*E16</f>
        <v>0</v>
      </c>
      <c r="N16" s="13">
        <f>'Charging GHE Spilt per grade'!W19*E16</f>
        <v>0</v>
      </c>
      <c r="O16" s="13">
        <f>'Charging GHE Spilt per grade'!Y19*E16</f>
        <v>0</v>
      </c>
      <c r="P16" s="13">
        <f>'Charging GHE Spilt per grade'!AA19*E16</f>
        <v>0</v>
      </c>
      <c r="Q16" s="13">
        <f>'Charging GHE Spilt per grade'!AC19*E16</f>
        <v>0</v>
      </c>
      <c r="R16" s="15">
        <f t="shared" si="0"/>
        <v>0</v>
      </c>
    </row>
    <row r="17" spans="1:18" x14ac:dyDescent="0.35">
      <c r="A17" s="131"/>
      <c r="B17" s="156"/>
      <c r="C17" s="10" t="str">
        <f>'Charging GHE Spilt per grade'!C20</f>
        <v>OV Dbl</v>
      </c>
      <c r="D17" s="25">
        <f>'Charging GHE Spilt per grade'!D20</f>
        <v>131.80000000000001</v>
      </c>
      <c r="E17" s="25">
        <f>D17-'Charging GHE Spilt per grade'!E20</f>
        <v>109.39400000000001</v>
      </c>
      <c r="F17" s="13">
        <f>'Charging GHE Spilt per grade'!G20*E17</f>
        <v>0</v>
      </c>
      <c r="G17" s="13">
        <f>'Charging GHE Spilt per grade'!I20*E17</f>
        <v>0</v>
      </c>
      <c r="H17" s="13">
        <f>'Charging GHE Spilt per grade'!K20*E17</f>
        <v>0</v>
      </c>
      <c r="I17" s="13">
        <f>'Charging GHE Spilt per grade'!M20*E17</f>
        <v>0</v>
      </c>
      <c r="J17" s="13">
        <f>'Charging GHE Spilt per grade'!O20*E17</f>
        <v>0</v>
      </c>
      <c r="K17" s="13">
        <f>'Charging GHE Spilt per grade'!Q20*E17</f>
        <v>0</v>
      </c>
      <c r="L17" s="13">
        <f>'Charging GHE Spilt per grade'!S20*E17</f>
        <v>0</v>
      </c>
      <c r="M17" s="13">
        <f>'Charging GHE Spilt per grade'!U20*E17</f>
        <v>0</v>
      </c>
      <c r="N17" s="13">
        <f>'Charging GHE Spilt per grade'!W20*E17</f>
        <v>0</v>
      </c>
      <c r="O17" s="13">
        <f>'Charging GHE Spilt per grade'!Y20*E17</f>
        <v>0</v>
      </c>
      <c r="P17" s="13">
        <f>'Charging GHE Spilt per grade'!AA20*E17</f>
        <v>0</v>
      </c>
      <c r="Q17" s="13">
        <f>'Charging GHE Spilt per grade'!AC20*E17</f>
        <v>0</v>
      </c>
      <c r="R17" s="15">
        <f t="shared" si="0"/>
        <v>0</v>
      </c>
    </row>
    <row r="18" spans="1:18" x14ac:dyDescent="0.35">
      <c r="A18" s="131"/>
      <c r="B18" s="156"/>
      <c r="C18" s="10" t="str">
        <f>'Charging GHE Spilt per grade'!C21</f>
        <v>SMI Single</v>
      </c>
      <c r="D18" s="25">
        <f>'Charging GHE Spilt per grade'!D21</f>
        <v>43.2</v>
      </c>
      <c r="E18" s="25">
        <f>D18-'Charging GHE Spilt per grade'!E21</f>
        <v>35.856000000000002</v>
      </c>
      <c r="F18" s="13">
        <f>'Charging GHE Spilt per grade'!G21*E18</f>
        <v>0</v>
      </c>
      <c r="G18" s="13">
        <f>'Charging GHE Spilt per grade'!I21*E18</f>
        <v>0</v>
      </c>
      <c r="H18" s="13">
        <f>'Charging GHE Spilt per grade'!K21*E18</f>
        <v>0</v>
      </c>
      <c r="I18" s="13">
        <f>'Charging GHE Spilt per grade'!M21*E18</f>
        <v>0</v>
      </c>
      <c r="J18" s="13">
        <f>'Charging GHE Spilt per grade'!O21*E18</f>
        <v>0</v>
      </c>
      <c r="K18" s="13">
        <f>'Charging GHE Spilt per grade'!Q21*E18</f>
        <v>0</v>
      </c>
      <c r="L18" s="13">
        <f>'Charging GHE Spilt per grade'!S21*E18</f>
        <v>0</v>
      </c>
      <c r="M18" s="13">
        <f>'Charging GHE Spilt per grade'!U21*E18</f>
        <v>0</v>
      </c>
      <c r="N18" s="13">
        <f>'Charging GHE Spilt per grade'!W21*E18</f>
        <v>0</v>
      </c>
      <c r="O18" s="13">
        <f>'Charging GHE Spilt per grade'!Y21*E18</f>
        <v>0</v>
      </c>
      <c r="P18" s="13">
        <f>'Charging GHE Spilt per grade'!AA21*E18</f>
        <v>0</v>
      </c>
      <c r="Q18" s="13">
        <f>'Charging GHE Spilt per grade'!AC21*E18</f>
        <v>0</v>
      </c>
      <c r="R18" s="15">
        <f t="shared" si="0"/>
        <v>0</v>
      </c>
    </row>
    <row r="19" spans="1:18" x14ac:dyDescent="0.35">
      <c r="A19" s="131"/>
      <c r="B19" s="156"/>
      <c r="C19" s="10" t="str">
        <f>'Charging GHE Spilt per grade'!C22</f>
        <v>SMI 1.5</v>
      </c>
      <c r="D19" s="25">
        <f>'Charging GHE Spilt per grade'!D22</f>
        <v>64.800000000000011</v>
      </c>
      <c r="E19" s="25">
        <f>D19-'Charging GHE Spilt per grade'!E22</f>
        <v>53.784000000000006</v>
      </c>
      <c r="F19" s="13">
        <f>'Charging GHE Spilt per grade'!G22*E19</f>
        <v>0</v>
      </c>
      <c r="G19" s="13">
        <f>'Charging GHE Spilt per grade'!I22*E19</f>
        <v>0</v>
      </c>
      <c r="H19" s="13">
        <f>'Charging GHE Spilt per grade'!K22*E19</f>
        <v>0</v>
      </c>
      <c r="I19" s="13">
        <f>'Charging GHE Spilt per grade'!M22*E19</f>
        <v>0</v>
      </c>
      <c r="J19" s="13">
        <f>'Charging GHE Spilt per grade'!O22*E19</f>
        <v>0</v>
      </c>
      <c r="K19" s="13">
        <f>'Charging GHE Spilt per grade'!Q22*E19</f>
        <v>0</v>
      </c>
      <c r="L19" s="13">
        <f>'Charging GHE Spilt per grade'!S22*E19</f>
        <v>0</v>
      </c>
      <c r="M19" s="13">
        <f>'Charging GHE Spilt per grade'!U22*E19</f>
        <v>0</v>
      </c>
      <c r="N19" s="13">
        <f>'Charging GHE Spilt per grade'!W22*E19</f>
        <v>0</v>
      </c>
      <c r="O19" s="13">
        <f>'Charging GHE Spilt per grade'!Y22*E19</f>
        <v>0</v>
      </c>
      <c r="P19" s="13">
        <f>'Charging GHE Spilt per grade'!AA22*E19</f>
        <v>0</v>
      </c>
      <c r="Q19" s="13">
        <f>'Charging GHE Spilt per grade'!AC22*E19</f>
        <v>0</v>
      </c>
      <c r="R19" s="15">
        <f t="shared" si="0"/>
        <v>0</v>
      </c>
    </row>
    <row r="20" spans="1:18" x14ac:dyDescent="0.35">
      <c r="A20" s="131"/>
      <c r="B20" s="156"/>
      <c r="C20" s="10" t="str">
        <f>'Charging GHE Spilt per grade'!C23</f>
        <v>SMI Dbl</v>
      </c>
      <c r="D20" s="25">
        <f>'Charging GHE Spilt per grade'!D23</f>
        <v>86.4</v>
      </c>
      <c r="E20" s="25">
        <f>D20-'Charging GHE Spilt per grade'!E23</f>
        <v>71.712000000000003</v>
      </c>
      <c r="F20" s="13">
        <f>'Charging GHE Spilt per grade'!G23*E20</f>
        <v>0</v>
      </c>
      <c r="G20" s="13">
        <f>'Charging GHE Spilt per grade'!I23*E20</f>
        <v>0</v>
      </c>
      <c r="H20" s="13">
        <f>'Charging GHE Spilt per grade'!K23*E20</f>
        <v>0</v>
      </c>
      <c r="I20" s="13">
        <f>'Charging GHE Spilt per grade'!M23*E20</f>
        <v>0</v>
      </c>
      <c r="J20" s="13">
        <f>'Charging GHE Spilt per grade'!O23*E20</f>
        <v>0</v>
      </c>
      <c r="K20" s="13">
        <f>'Charging GHE Spilt per grade'!Q23*E20</f>
        <v>0</v>
      </c>
      <c r="L20" s="13">
        <f>'Charging GHE Spilt per grade'!S23*E20</f>
        <v>0</v>
      </c>
      <c r="M20" s="13">
        <f>'Charging GHE Spilt per grade'!U23*E20</f>
        <v>0</v>
      </c>
      <c r="N20" s="13">
        <f>'Charging GHE Spilt per grade'!W23*E20</f>
        <v>0</v>
      </c>
      <c r="O20" s="13">
        <f>'Charging GHE Spilt per grade'!Y23*E20</f>
        <v>0</v>
      </c>
      <c r="P20" s="13">
        <f>'Charging GHE Spilt per grade'!AA23*E20</f>
        <v>0</v>
      </c>
      <c r="Q20" s="13">
        <f>'Charging GHE Spilt per grade'!AC23*E20</f>
        <v>0</v>
      </c>
      <c r="R20" s="15">
        <f t="shared" si="0"/>
        <v>0</v>
      </c>
    </row>
    <row r="21" spans="1:18" x14ac:dyDescent="0.35">
      <c r="A21" s="131">
        <v>4</v>
      </c>
      <c r="B21" s="156">
        <f>'Charging GHE Spilt per grade'!B24</f>
        <v>0.06</v>
      </c>
      <c r="C21" s="10" t="str">
        <f>'Charging GHE Spilt per grade'!C24</f>
        <v>OV Single</v>
      </c>
      <c r="D21" s="25">
        <f>'Charging GHE Spilt per grade'!D24</f>
        <v>65.900000000000006</v>
      </c>
      <c r="E21" s="25">
        <f>D21-'Charging GHE Spilt per grade'!E24</f>
        <v>61.946000000000005</v>
      </c>
      <c r="F21" s="13">
        <f>'Charging GHE Spilt per grade'!G24*E21</f>
        <v>0</v>
      </c>
      <c r="G21" s="13">
        <f>'Charging GHE Spilt per grade'!I24*E21</f>
        <v>0</v>
      </c>
      <c r="H21" s="13">
        <f>'Charging GHE Spilt per grade'!K24*E21</f>
        <v>0</v>
      </c>
      <c r="I21" s="13">
        <f>'Charging GHE Spilt per grade'!M24*E21</f>
        <v>0</v>
      </c>
      <c r="J21" s="13">
        <f>'Charging GHE Spilt per grade'!O24*E21</f>
        <v>0</v>
      </c>
      <c r="K21" s="13">
        <f>'Charging GHE Spilt per grade'!Q24*E21</f>
        <v>0</v>
      </c>
      <c r="L21" s="13">
        <f>'Charging GHE Spilt per grade'!S24*E21</f>
        <v>0</v>
      </c>
      <c r="M21" s="13">
        <f>'Charging GHE Spilt per grade'!U24*E21</f>
        <v>0</v>
      </c>
      <c r="N21" s="13">
        <f>'Charging GHE Spilt per grade'!W24*E21</f>
        <v>0</v>
      </c>
      <c r="O21" s="13">
        <f>'Charging GHE Spilt per grade'!Y24*E21</f>
        <v>0</v>
      </c>
      <c r="P21" s="13">
        <f>'Charging GHE Spilt per grade'!AA24*E21</f>
        <v>0</v>
      </c>
      <c r="Q21" s="13">
        <f>'Charging GHE Spilt per grade'!AC24*E21</f>
        <v>0</v>
      </c>
      <c r="R21" s="15">
        <f t="shared" si="0"/>
        <v>0</v>
      </c>
    </row>
    <row r="22" spans="1:18" x14ac:dyDescent="0.35">
      <c r="A22" s="131"/>
      <c r="B22" s="156"/>
      <c r="C22" s="10" t="str">
        <f>'Charging GHE Spilt per grade'!C25</f>
        <v>OV 1.5</v>
      </c>
      <c r="D22" s="25">
        <f>'Charging GHE Spilt per grade'!D25</f>
        <v>98.850000000000009</v>
      </c>
      <c r="E22" s="25">
        <f>D22-'Charging GHE Spilt per grade'!E25</f>
        <v>92.919000000000011</v>
      </c>
      <c r="F22" s="13">
        <f>'Charging GHE Spilt per grade'!G25*E22</f>
        <v>0</v>
      </c>
      <c r="G22" s="13">
        <f>'Charging GHE Spilt per grade'!I25*E22</f>
        <v>0</v>
      </c>
      <c r="H22" s="13">
        <f>'Charging GHE Spilt per grade'!K25*E22</f>
        <v>0</v>
      </c>
      <c r="I22" s="13">
        <f>'Charging GHE Spilt per grade'!M25*E22</f>
        <v>0</v>
      </c>
      <c r="J22" s="13">
        <f>'Charging GHE Spilt per grade'!O25*E22</f>
        <v>0</v>
      </c>
      <c r="K22" s="13">
        <f>'Charging GHE Spilt per grade'!Q25*E22</f>
        <v>0</v>
      </c>
      <c r="L22" s="13">
        <f>'Charging GHE Spilt per grade'!S25*E22</f>
        <v>0</v>
      </c>
      <c r="M22" s="13">
        <f>'Charging GHE Spilt per grade'!U25*E22</f>
        <v>0</v>
      </c>
      <c r="N22" s="13">
        <f>'Charging GHE Spilt per grade'!W25*E22</f>
        <v>0</v>
      </c>
      <c r="O22" s="13">
        <f>'Charging GHE Spilt per grade'!Y25*E22</f>
        <v>0</v>
      </c>
      <c r="P22" s="13">
        <f>'Charging GHE Spilt per grade'!AA25*E22</f>
        <v>0</v>
      </c>
      <c r="Q22" s="13">
        <f>'Charging GHE Spilt per grade'!AC25*E22</f>
        <v>0</v>
      </c>
      <c r="R22" s="15">
        <f t="shared" si="0"/>
        <v>0</v>
      </c>
    </row>
    <row r="23" spans="1:18" x14ac:dyDescent="0.35">
      <c r="A23" s="131"/>
      <c r="B23" s="156"/>
      <c r="C23" s="10" t="str">
        <f>'Charging GHE Spilt per grade'!C26</f>
        <v>OV Dbl</v>
      </c>
      <c r="D23" s="25">
        <f>'Charging GHE Spilt per grade'!D26</f>
        <v>131.80000000000001</v>
      </c>
      <c r="E23" s="25">
        <f>D23-'Charging GHE Spilt per grade'!E26</f>
        <v>123.89200000000001</v>
      </c>
      <c r="F23" s="13">
        <f>'Charging GHE Spilt per grade'!G26*E23</f>
        <v>0</v>
      </c>
      <c r="G23" s="13">
        <f>'Charging GHE Spilt per grade'!I26*E23</f>
        <v>0</v>
      </c>
      <c r="H23" s="13">
        <f>'Charging GHE Spilt per grade'!K26*E23</f>
        <v>0</v>
      </c>
      <c r="I23" s="13">
        <f>'Charging GHE Spilt per grade'!M26*E23</f>
        <v>0</v>
      </c>
      <c r="J23" s="13">
        <f>'Charging GHE Spilt per grade'!O26*E23</f>
        <v>0</v>
      </c>
      <c r="K23" s="13">
        <f>'Charging GHE Spilt per grade'!Q26*E23</f>
        <v>0</v>
      </c>
      <c r="L23" s="13">
        <f>'Charging GHE Spilt per grade'!S26*E23</f>
        <v>0</v>
      </c>
      <c r="M23" s="13">
        <f>'Charging GHE Spilt per grade'!U26*E23</f>
        <v>0</v>
      </c>
      <c r="N23" s="13">
        <f>'Charging GHE Spilt per grade'!W26*E23</f>
        <v>0</v>
      </c>
      <c r="O23" s="13">
        <f>'Charging GHE Spilt per grade'!Y26*E23</f>
        <v>0</v>
      </c>
      <c r="P23" s="13">
        <f>'Charging GHE Spilt per grade'!AA26*E23</f>
        <v>0</v>
      </c>
      <c r="Q23" s="13">
        <f>'Charging GHE Spilt per grade'!AC26*E23</f>
        <v>0</v>
      </c>
      <c r="R23" s="15">
        <f t="shared" si="0"/>
        <v>0</v>
      </c>
    </row>
    <row r="24" spans="1:18" x14ac:dyDescent="0.35">
      <c r="A24" s="131"/>
      <c r="B24" s="156"/>
      <c r="C24" s="10" t="str">
        <f>'Charging GHE Spilt per grade'!C27</f>
        <v>SMI Single</v>
      </c>
      <c r="D24" s="25">
        <f>'Charging GHE Spilt per grade'!D27</f>
        <v>43.2</v>
      </c>
      <c r="E24" s="25">
        <f>D24-'Charging GHE Spilt per grade'!E27</f>
        <v>40.608000000000004</v>
      </c>
      <c r="F24" s="13">
        <f>'Charging GHE Spilt per grade'!G27*E24</f>
        <v>0</v>
      </c>
      <c r="G24" s="13">
        <f>'Charging GHE Spilt per grade'!I27*E24</f>
        <v>0</v>
      </c>
      <c r="H24" s="13">
        <f>'Charging GHE Spilt per grade'!K27*E24</f>
        <v>0</v>
      </c>
      <c r="I24" s="13">
        <f>'Charging GHE Spilt per grade'!M27*E24</f>
        <v>0</v>
      </c>
      <c r="J24" s="13">
        <f>'Charging GHE Spilt per grade'!O27*E24</f>
        <v>0</v>
      </c>
      <c r="K24" s="13">
        <f>'Charging GHE Spilt per grade'!Q27*E24</f>
        <v>0</v>
      </c>
      <c r="L24" s="13">
        <f>'Charging GHE Spilt per grade'!S27*E24</f>
        <v>0</v>
      </c>
      <c r="M24" s="13">
        <f>'Charging GHE Spilt per grade'!U27*E24</f>
        <v>0</v>
      </c>
      <c r="N24" s="13">
        <f>'Charging GHE Spilt per grade'!W27*E24</f>
        <v>0</v>
      </c>
      <c r="O24" s="13">
        <f>'Charging GHE Spilt per grade'!Y27*E24</f>
        <v>0</v>
      </c>
      <c r="P24" s="13">
        <f>'Charging GHE Spilt per grade'!AA27*E24</f>
        <v>0</v>
      </c>
      <c r="Q24" s="13">
        <f>'Charging GHE Spilt per grade'!AC27*E24</f>
        <v>0</v>
      </c>
      <c r="R24" s="15">
        <f t="shared" si="0"/>
        <v>0</v>
      </c>
    </row>
    <row r="25" spans="1:18" x14ac:dyDescent="0.35">
      <c r="A25" s="131"/>
      <c r="B25" s="156"/>
      <c r="C25" s="10" t="str">
        <f>'Charging GHE Spilt per grade'!C28</f>
        <v>SMI 1.5</v>
      </c>
      <c r="D25" s="25">
        <f>'Charging GHE Spilt per grade'!D28</f>
        <v>64.800000000000011</v>
      </c>
      <c r="E25" s="25">
        <f>D25-'Charging GHE Spilt per grade'!E28</f>
        <v>60.912000000000013</v>
      </c>
      <c r="F25" s="13">
        <f>'Charging GHE Spilt per grade'!G28*E25</f>
        <v>0</v>
      </c>
      <c r="G25" s="13">
        <f>'Charging GHE Spilt per grade'!I28*E25</f>
        <v>0</v>
      </c>
      <c r="H25" s="13">
        <f>'Charging GHE Spilt per grade'!K28*E25</f>
        <v>0</v>
      </c>
      <c r="I25" s="13">
        <f>'Charging GHE Spilt per grade'!M28*E25</f>
        <v>0</v>
      </c>
      <c r="J25" s="13">
        <f>'Charging GHE Spilt per grade'!O28*E25</f>
        <v>0</v>
      </c>
      <c r="K25" s="13">
        <f>'Charging GHE Spilt per grade'!Q28*E25</f>
        <v>0</v>
      </c>
      <c r="L25" s="13">
        <f>'Charging GHE Spilt per grade'!S28*E25</f>
        <v>0</v>
      </c>
      <c r="M25" s="13">
        <f>'Charging GHE Spilt per grade'!U28*E25</f>
        <v>0</v>
      </c>
      <c r="N25" s="13">
        <f>'Charging GHE Spilt per grade'!W28*E25</f>
        <v>0</v>
      </c>
      <c r="O25" s="13">
        <f>'Charging GHE Spilt per grade'!Y28*E25</f>
        <v>0</v>
      </c>
      <c r="P25" s="13">
        <f>'Charging GHE Spilt per grade'!AA28*E25</f>
        <v>0</v>
      </c>
      <c r="Q25" s="13">
        <f>'Charging GHE Spilt per grade'!AC28*E25</f>
        <v>0</v>
      </c>
      <c r="R25" s="15">
        <f t="shared" si="0"/>
        <v>0</v>
      </c>
    </row>
    <row r="26" spans="1:18" x14ac:dyDescent="0.35">
      <c r="A26" s="131"/>
      <c r="B26" s="156"/>
      <c r="C26" s="10" t="str">
        <f>'Charging GHE Spilt per grade'!C29</f>
        <v>SMI Dbl</v>
      </c>
      <c r="D26" s="25">
        <f>'Charging GHE Spilt per grade'!D29</f>
        <v>86.4</v>
      </c>
      <c r="E26" s="25">
        <f>D26-'Charging GHE Spilt per grade'!E29</f>
        <v>81.216000000000008</v>
      </c>
      <c r="F26" s="13">
        <f>'Charging GHE Spilt per grade'!G29*E26</f>
        <v>0</v>
      </c>
      <c r="G26" s="13">
        <f>'Charging GHE Spilt per grade'!I29*E26</f>
        <v>0</v>
      </c>
      <c r="H26" s="13">
        <f>'Charging GHE Spilt per grade'!K29*E26</f>
        <v>0</v>
      </c>
      <c r="I26" s="13">
        <f>'Charging GHE Spilt per grade'!M29*E26</f>
        <v>0</v>
      </c>
      <c r="J26" s="13">
        <f>'Charging GHE Spilt per grade'!O29*E26</f>
        <v>0</v>
      </c>
      <c r="K26" s="13">
        <f>'Charging GHE Spilt per grade'!Q29*E26</f>
        <v>0</v>
      </c>
      <c r="L26" s="13">
        <f>'Charging GHE Spilt per grade'!S29*E26</f>
        <v>0</v>
      </c>
      <c r="M26" s="13">
        <f>'Charging GHE Spilt per grade'!U29*E26</f>
        <v>0</v>
      </c>
      <c r="N26" s="13">
        <f>'Charging GHE Spilt per grade'!W29*E26</f>
        <v>0</v>
      </c>
      <c r="O26" s="13">
        <f>'Charging GHE Spilt per grade'!Y29*E26</f>
        <v>0</v>
      </c>
      <c r="P26" s="13">
        <f>'Charging GHE Spilt per grade'!AA29*E26</f>
        <v>0</v>
      </c>
      <c r="Q26" s="13">
        <f>'Charging GHE Spilt per grade'!AC29*E26</f>
        <v>0</v>
      </c>
      <c r="R26" s="15">
        <f t="shared" si="0"/>
        <v>0</v>
      </c>
    </row>
    <row r="27" spans="1:18" x14ac:dyDescent="0.35">
      <c r="A27" s="131">
        <v>5</v>
      </c>
      <c r="B27" s="156">
        <f>'Charging GHE Spilt per grade'!B30</f>
        <v>0.04</v>
      </c>
      <c r="C27" s="10" t="str">
        <f>'Charging GHE Spilt per grade'!C30</f>
        <v>OV Single</v>
      </c>
      <c r="D27" s="25">
        <f>'Charging GHE Spilt per grade'!D30</f>
        <v>65.900000000000006</v>
      </c>
      <c r="E27" s="25">
        <f>D27-'Charging GHE Spilt per grade'!E30</f>
        <v>63.264000000000003</v>
      </c>
      <c r="F27" s="13">
        <f>'Charging GHE Spilt per grade'!G30*E27</f>
        <v>0</v>
      </c>
      <c r="G27" s="13">
        <f>'Charging GHE Spilt per grade'!I30*E27</f>
        <v>0</v>
      </c>
      <c r="H27" s="13">
        <f>'Charging GHE Spilt per grade'!K30*E27</f>
        <v>0</v>
      </c>
      <c r="I27" s="13">
        <f>'Charging GHE Spilt per grade'!M30*E27</f>
        <v>0</v>
      </c>
      <c r="J27" s="13">
        <f>'Charging GHE Spilt per grade'!O30*E27</f>
        <v>0</v>
      </c>
      <c r="K27" s="13">
        <f>'Charging GHE Spilt per grade'!Q30*E27</f>
        <v>0</v>
      </c>
      <c r="L27" s="13">
        <f>'Charging GHE Spilt per grade'!S30*E27</f>
        <v>0</v>
      </c>
      <c r="M27" s="13">
        <f>'Charging GHE Spilt per grade'!U30*E27</f>
        <v>0</v>
      </c>
      <c r="N27" s="13">
        <f>'Charging GHE Spilt per grade'!W30*E27</f>
        <v>0</v>
      </c>
      <c r="O27" s="13">
        <f>'Charging GHE Spilt per grade'!Y30*E27</f>
        <v>0</v>
      </c>
      <c r="P27" s="13">
        <f>'Charging GHE Spilt per grade'!AA30*E27</f>
        <v>0</v>
      </c>
      <c r="Q27" s="13">
        <f>'Charging GHE Spilt per grade'!AC30*E27</f>
        <v>0</v>
      </c>
      <c r="R27" s="15">
        <f t="shared" si="0"/>
        <v>0</v>
      </c>
    </row>
    <row r="28" spans="1:18" x14ac:dyDescent="0.35">
      <c r="A28" s="131"/>
      <c r="B28" s="156"/>
      <c r="C28" s="10" t="str">
        <f>'Charging GHE Spilt per grade'!C31</f>
        <v>OV 1.5</v>
      </c>
      <c r="D28" s="25">
        <f>'Charging GHE Spilt per grade'!D31</f>
        <v>98.850000000000009</v>
      </c>
      <c r="E28" s="25">
        <f>D28-'Charging GHE Spilt per grade'!E31</f>
        <v>94.896000000000015</v>
      </c>
      <c r="F28" s="13">
        <f>'Charging GHE Spilt per grade'!G31*E28</f>
        <v>0</v>
      </c>
      <c r="G28" s="13">
        <f>'Charging GHE Spilt per grade'!I31*E28</f>
        <v>0</v>
      </c>
      <c r="H28" s="13">
        <f>'Charging GHE Spilt per grade'!K31*E28</f>
        <v>0</v>
      </c>
      <c r="I28" s="13">
        <f>'Charging GHE Spilt per grade'!M31*E28</f>
        <v>0</v>
      </c>
      <c r="J28" s="13">
        <f>'Charging GHE Spilt per grade'!O31*E28</f>
        <v>0</v>
      </c>
      <c r="K28" s="13">
        <f>'Charging GHE Spilt per grade'!Q31*E28</f>
        <v>0</v>
      </c>
      <c r="L28" s="13">
        <f>'Charging GHE Spilt per grade'!S31*E28</f>
        <v>0</v>
      </c>
      <c r="M28" s="13">
        <f>'Charging GHE Spilt per grade'!U31*E28</f>
        <v>0</v>
      </c>
      <c r="N28" s="13">
        <f>'Charging GHE Spilt per grade'!W31*E28</f>
        <v>0</v>
      </c>
      <c r="O28" s="13">
        <f>'Charging GHE Spilt per grade'!Y31*E28</f>
        <v>0</v>
      </c>
      <c r="P28" s="13">
        <f>'Charging GHE Spilt per grade'!AA31*E28</f>
        <v>0</v>
      </c>
      <c r="Q28" s="13">
        <f>'Charging GHE Spilt per grade'!AC31*E28</f>
        <v>0</v>
      </c>
      <c r="R28" s="15">
        <f t="shared" si="0"/>
        <v>0</v>
      </c>
    </row>
    <row r="29" spans="1:18" x14ac:dyDescent="0.35">
      <c r="A29" s="131"/>
      <c r="B29" s="156"/>
      <c r="C29" s="10" t="str">
        <f>'Charging GHE Spilt per grade'!C32</f>
        <v>OV Dbl</v>
      </c>
      <c r="D29" s="25">
        <f>'Charging GHE Spilt per grade'!D32</f>
        <v>131.80000000000001</v>
      </c>
      <c r="E29" s="25">
        <f>D29-'Charging GHE Spilt per grade'!E32</f>
        <v>126.52800000000001</v>
      </c>
      <c r="F29" s="13">
        <f>'Charging GHE Spilt per grade'!G32*E29</f>
        <v>0</v>
      </c>
      <c r="G29" s="13">
        <f>'Charging GHE Spilt per grade'!I32*E29</f>
        <v>0</v>
      </c>
      <c r="H29" s="13">
        <f>'Charging GHE Spilt per grade'!K32*E29</f>
        <v>0</v>
      </c>
      <c r="I29" s="13">
        <f>'Charging GHE Spilt per grade'!M32*E29</f>
        <v>0</v>
      </c>
      <c r="J29" s="13">
        <f>'Charging GHE Spilt per grade'!O32*E29</f>
        <v>0</v>
      </c>
      <c r="K29" s="13">
        <f>'Charging GHE Spilt per grade'!Q32*E29</f>
        <v>0</v>
      </c>
      <c r="L29" s="13">
        <f>'Charging GHE Spilt per grade'!S32*E29</f>
        <v>0</v>
      </c>
      <c r="M29" s="13">
        <f>'Charging GHE Spilt per grade'!U32*E29</f>
        <v>0</v>
      </c>
      <c r="N29" s="13">
        <f>'Charging GHE Spilt per grade'!W32*E29</f>
        <v>0</v>
      </c>
      <c r="O29" s="13">
        <f>'Charging GHE Spilt per grade'!Y32*E29</f>
        <v>0</v>
      </c>
      <c r="P29" s="13">
        <f>'Charging GHE Spilt per grade'!AA32*E29</f>
        <v>0</v>
      </c>
      <c r="Q29" s="13">
        <f>'Charging GHE Spilt per grade'!AC32*E29</f>
        <v>0</v>
      </c>
      <c r="R29" s="15">
        <f t="shared" si="0"/>
        <v>0</v>
      </c>
    </row>
    <row r="30" spans="1:18" x14ac:dyDescent="0.35">
      <c r="A30" s="131"/>
      <c r="B30" s="156"/>
      <c r="C30" s="10" t="str">
        <f>'Charging GHE Spilt per grade'!C33</f>
        <v>SMI Single</v>
      </c>
      <c r="D30" s="25">
        <f>'Charging GHE Spilt per grade'!D33</f>
        <v>43.2</v>
      </c>
      <c r="E30" s="25">
        <f>D30-'Charging GHE Spilt per grade'!E33</f>
        <v>41.472000000000001</v>
      </c>
      <c r="F30" s="13">
        <f>'Charging GHE Spilt per grade'!G33*E30</f>
        <v>0</v>
      </c>
      <c r="G30" s="13">
        <f>'Charging GHE Spilt per grade'!I33*E30</f>
        <v>0</v>
      </c>
      <c r="H30" s="13">
        <f>'Charging GHE Spilt per grade'!K33*E30</f>
        <v>0</v>
      </c>
      <c r="I30" s="13">
        <f>'Charging GHE Spilt per grade'!M33*E30</f>
        <v>0</v>
      </c>
      <c r="J30" s="13">
        <f>'Charging GHE Spilt per grade'!O33*E30</f>
        <v>0</v>
      </c>
      <c r="K30" s="13">
        <f>'Charging GHE Spilt per grade'!Q33*E30</f>
        <v>0</v>
      </c>
      <c r="L30" s="13">
        <f>'Charging GHE Spilt per grade'!S33*E30</f>
        <v>0</v>
      </c>
      <c r="M30" s="13">
        <f>'Charging GHE Spilt per grade'!U33*E30</f>
        <v>0</v>
      </c>
      <c r="N30" s="13">
        <f>'Charging GHE Spilt per grade'!W33*E30</f>
        <v>0</v>
      </c>
      <c r="O30" s="13">
        <f>'Charging GHE Spilt per grade'!Y33*E30</f>
        <v>0</v>
      </c>
      <c r="P30" s="13">
        <f>'Charging GHE Spilt per grade'!AA33*E30</f>
        <v>0</v>
      </c>
      <c r="Q30" s="13">
        <f>'Charging GHE Spilt per grade'!AC33*E30</f>
        <v>0</v>
      </c>
      <c r="R30" s="15">
        <f t="shared" si="0"/>
        <v>0</v>
      </c>
    </row>
    <row r="31" spans="1:18" x14ac:dyDescent="0.35">
      <c r="A31" s="131"/>
      <c r="B31" s="156"/>
      <c r="C31" s="10" t="str">
        <f>'Charging GHE Spilt per grade'!C34</f>
        <v>SMI 1.5</v>
      </c>
      <c r="D31" s="25">
        <f>'Charging GHE Spilt per grade'!D34</f>
        <v>64.800000000000011</v>
      </c>
      <c r="E31" s="25">
        <f>D31-'Charging GHE Spilt per grade'!E34</f>
        <v>62.208000000000013</v>
      </c>
      <c r="F31" s="13">
        <f>'Charging GHE Spilt per grade'!G34*E31</f>
        <v>0</v>
      </c>
      <c r="G31" s="13">
        <f>'Charging GHE Spilt per grade'!I34*E31</f>
        <v>0</v>
      </c>
      <c r="H31" s="13">
        <f>'Charging GHE Spilt per grade'!K34*E31</f>
        <v>0</v>
      </c>
      <c r="I31" s="13">
        <f>'Charging GHE Spilt per grade'!M34*E31</f>
        <v>0</v>
      </c>
      <c r="J31" s="13">
        <f>'Charging GHE Spilt per grade'!O34*E31</f>
        <v>0</v>
      </c>
      <c r="K31" s="13">
        <f>'Charging GHE Spilt per grade'!Q34*E31</f>
        <v>0</v>
      </c>
      <c r="L31" s="13">
        <f>'Charging GHE Spilt per grade'!S34*E31</f>
        <v>0</v>
      </c>
      <c r="M31" s="13">
        <f>'Charging GHE Spilt per grade'!U34*E31</f>
        <v>0</v>
      </c>
      <c r="N31" s="13">
        <f>'Charging GHE Spilt per grade'!W34*E31</f>
        <v>0</v>
      </c>
      <c r="O31" s="13">
        <f>'Charging GHE Spilt per grade'!Y34*E31</f>
        <v>0</v>
      </c>
      <c r="P31" s="13">
        <f>'Charging GHE Spilt per grade'!AA34*E31</f>
        <v>0</v>
      </c>
      <c r="Q31" s="13">
        <f>'Charging GHE Spilt per grade'!AC34*E31</f>
        <v>0</v>
      </c>
      <c r="R31" s="15">
        <f t="shared" si="0"/>
        <v>0</v>
      </c>
    </row>
    <row r="32" spans="1:18" x14ac:dyDescent="0.35">
      <c r="A32" s="131"/>
      <c r="B32" s="156"/>
      <c r="C32" s="10" t="str">
        <f>'Charging GHE Spilt per grade'!C35</f>
        <v>SMI Dbl</v>
      </c>
      <c r="D32" s="25">
        <f>'Charging GHE Spilt per grade'!D35</f>
        <v>86.4</v>
      </c>
      <c r="E32" s="25">
        <f>D32-'Charging GHE Spilt per grade'!E35</f>
        <v>82.944000000000003</v>
      </c>
      <c r="F32" s="13">
        <f>'Charging GHE Spilt per grade'!G35*E32</f>
        <v>0</v>
      </c>
      <c r="G32" s="13">
        <f>'Charging GHE Spilt per grade'!I35*E32</f>
        <v>0</v>
      </c>
      <c r="H32" s="13">
        <f>'Charging GHE Spilt per grade'!K35*E32</f>
        <v>0</v>
      </c>
      <c r="I32" s="13">
        <f>'Charging GHE Spilt per grade'!M35*E32</f>
        <v>0</v>
      </c>
      <c r="J32" s="13">
        <f>'Charging GHE Spilt per grade'!O35*E32</f>
        <v>0</v>
      </c>
      <c r="K32" s="13">
        <f>'Charging GHE Spilt per grade'!Q35*E32</f>
        <v>0</v>
      </c>
      <c r="L32" s="13">
        <f>'Charging GHE Spilt per grade'!S35*E32</f>
        <v>0</v>
      </c>
      <c r="M32" s="13">
        <f>'Charging GHE Spilt per grade'!U35*E32</f>
        <v>0</v>
      </c>
      <c r="N32" s="13">
        <f>'Charging GHE Spilt per grade'!W35*E32</f>
        <v>0</v>
      </c>
      <c r="O32" s="13">
        <f>'Charging GHE Spilt per grade'!Y35*E32</f>
        <v>0</v>
      </c>
      <c r="P32" s="13">
        <f>'Charging GHE Spilt per grade'!AA35*E32</f>
        <v>0</v>
      </c>
      <c r="Q32" s="13">
        <f>'Charging GHE Spilt per grade'!AC35*E32</f>
        <v>0</v>
      </c>
      <c r="R32" s="15">
        <f t="shared" si="0"/>
        <v>0</v>
      </c>
    </row>
    <row r="33" spans="1:19" x14ac:dyDescent="0.35">
      <c r="A33" s="131">
        <v>6</v>
      </c>
      <c r="B33" s="156">
        <f>'Charging GHE Spilt per grade'!B36</f>
        <v>0.02</v>
      </c>
      <c r="C33" s="10" t="str">
        <f>'Charging GHE Spilt per grade'!C36</f>
        <v>OV Single</v>
      </c>
      <c r="D33" s="25">
        <f>'Charging GHE Spilt per grade'!D36</f>
        <v>65.900000000000006</v>
      </c>
      <c r="E33" s="25">
        <f>D33-'Charging GHE Spilt per grade'!E36</f>
        <v>64.582000000000008</v>
      </c>
      <c r="F33" s="13">
        <f>'Charging GHE Spilt per grade'!G36*E33</f>
        <v>0</v>
      </c>
      <c r="G33" s="13">
        <f>'Charging GHE Spilt per grade'!I36*E33</f>
        <v>0</v>
      </c>
      <c r="H33" s="13">
        <f>'Charging GHE Spilt per grade'!K36*E33</f>
        <v>0</v>
      </c>
      <c r="I33" s="13">
        <f>'Charging GHE Spilt per grade'!M36*E33</f>
        <v>0</v>
      </c>
      <c r="J33" s="13">
        <f>'Charging GHE Spilt per grade'!O36*E33</f>
        <v>0</v>
      </c>
      <c r="K33" s="13">
        <f>'Charging GHE Spilt per grade'!Q36*E33</f>
        <v>0</v>
      </c>
      <c r="L33" s="13">
        <f>'Charging GHE Spilt per grade'!S36*E33</f>
        <v>0</v>
      </c>
      <c r="M33" s="13">
        <f>'Charging GHE Spilt per grade'!U36*E33</f>
        <v>0</v>
      </c>
      <c r="N33" s="13">
        <f>'Charging GHE Spilt per grade'!W36*E33</f>
        <v>0</v>
      </c>
      <c r="O33" s="13">
        <f>'Charging GHE Spilt per grade'!Y36*E33</f>
        <v>0</v>
      </c>
      <c r="P33" s="13">
        <f>'Charging GHE Spilt per grade'!AA36*E33</f>
        <v>0</v>
      </c>
      <c r="Q33" s="13">
        <f>'Charging GHE Spilt per grade'!AC36*E33</f>
        <v>0</v>
      </c>
      <c r="R33" s="15">
        <f t="shared" si="0"/>
        <v>0</v>
      </c>
    </row>
    <row r="34" spans="1:19" x14ac:dyDescent="0.35">
      <c r="A34" s="131"/>
      <c r="B34" s="156"/>
      <c r="C34" s="10" t="str">
        <f>'Charging GHE Spilt per grade'!C37</f>
        <v>OV 1.5</v>
      </c>
      <c r="D34" s="25">
        <f>'Charging GHE Spilt per grade'!D37</f>
        <v>98.850000000000009</v>
      </c>
      <c r="E34" s="25">
        <f>D34-'Charging GHE Spilt per grade'!E37</f>
        <v>96.873000000000005</v>
      </c>
      <c r="F34" s="13">
        <f>'Charging GHE Spilt per grade'!G37*E34</f>
        <v>0</v>
      </c>
      <c r="G34" s="13">
        <f>'Charging GHE Spilt per grade'!I37*E34</f>
        <v>0</v>
      </c>
      <c r="H34" s="13">
        <f>'Charging GHE Spilt per grade'!K37*E34</f>
        <v>0</v>
      </c>
      <c r="I34" s="13">
        <f>'Charging GHE Spilt per grade'!M37*E34</f>
        <v>0</v>
      </c>
      <c r="J34" s="13">
        <f>'Charging GHE Spilt per grade'!O37*E34</f>
        <v>0</v>
      </c>
      <c r="K34" s="13">
        <f>'Charging GHE Spilt per grade'!Q37*E34</f>
        <v>0</v>
      </c>
      <c r="L34" s="13">
        <f>'Charging GHE Spilt per grade'!S37*E34</f>
        <v>0</v>
      </c>
      <c r="M34" s="13">
        <f>'Charging GHE Spilt per grade'!U37*E34</f>
        <v>0</v>
      </c>
      <c r="N34" s="13">
        <f>'Charging GHE Spilt per grade'!W37*E34</f>
        <v>0</v>
      </c>
      <c r="O34" s="13">
        <f>'Charging GHE Spilt per grade'!Y37*E34</f>
        <v>0</v>
      </c>
      <c r="P34" s="13">
        <f>'Charging GHE Spilt per grade'!AA37*E34</f>
        <v>0</v>
      </c>
      <c r="Q34" s="13">
        <f>'Charging GHE Spilt per grade'!AC37*E34</f>
        <v>0</v>
      </c>
      <c r="R34" s="15">
        <f t="shared" si="0"/>
        <v>0</v>
      </c>
    </row>
    <row r="35" spans="1:19" x14ac:dyDescent="0.35">
      <c r="A35" s="131"/>
      <c r="B35" s="156"/>
      <c r="C35" s="10" t="str">
        <f>'Charging GHE Spilt per grade'!C38</f>
        <v>OV Dbl</v>
      </c>
      <c r="D35" s="25">
        <f>'Charging GHE Spilt per grade'!D38</f>
        <v>131.80000000000001</v>
      </c>
      <c r="E35" s="25">
        <f>D35-'Charging GHE Spilt per grade'!E38</f>
        <v>129.16400000000002</v>
      </c>
      <c r="F35" s="13">
        <f>'Charging GHE Spilt per grade'!G38*E35</f>
        <v>0</v>
      </c>
      <c r="G35" s="13">
        <f>'Charging GHE Spilt per grade'!I38*E35</f>
        <v>0</v>
      </c>
      <c r="H35" s="13">
        <f>'Charging GHE Spilt per grade'!K38*E35</f>
        <v>0</v>
      </c>
      <c r="I35" s="13">
        <f>'Charging GHE Spilt per grade'!M38*E35</f>
        <v>0</v>
      </c>
      <c r="J35" s="13">
        <f>'Charging GHE Spilt per grade'!O38*E35</f>
        <v>0</v>
      </c>
      <c r="K35" s="13">
        <f>'Charging GHE Spilt per grade'!Q38*E35</f>
        <v>0</v>
      </c>
      <c r="L35" s="13">
        <f>'Charging GHE Spilt per grade'!S38*E35</f>
        <v>0</v>
      </c>
      <c r="M35" s="13">
        <f>'Charging GHE Spilt per grade'!U38*E35</f>
        <v>0</v>
      </c>
      <c r="N35" s="13">
        <f>'Charging GHE Spilt per grade'!W38*E35</f>
        <v>0</v>
      </c>
      <c r="O35" s="13">
        <f>'Charging GHE Spilt per grade'!Y38*E35</f>
        <v>0</v>
      </c>
      <c r="P35" s="13">
        <f>'Charging GHE Spilt per grade'!AA38*E35</f>
        <v>0</v>
      </c>
      <c r="Q35" s="13">
        <f>'Charging GHE Spilt per grade'!AC38*E35</f>
        <v>0</v>
      </c>
      <c r="R35" s="15">
        <f t="shared" si="0"/>
        <v>0</v>
      </c>
    </row>
    <row r="36" spans="1:19" x14ac:dyDescent="0.35">
      <c r="A36" s="131"/>
      <c r="B36" s="156"/>
      <c r="C36" s="10" t="str">
        <f>'Charging GHE Spilt per grade'!C39</f>
        <v>SMI Single</v>
      </c>
      <c r="D36" s="25">
        <f>'Charging GHE Spilt per grade'!D39</f>
        <v>43.2</v>
      </c>
      <c r="E36" s="25">
        <f>D36-'Charging GHE Spilt per grade'!E39</f>
        <v>42.336000000000006</v>
      </c>
      <c r="F36" s="13">
        <f>'Charging GHE Spilt per grade'!G39*E36</f>
        <v>0</v>
      </c>
      <c r="G36" s="13">
        <f>'Charging GHE Spilt per grade'!I39*E36</f>
        <v>0</v>
      </c>
      <c r="H36" s="13">
        <f>'Charging GHE Spilt per grade'!K39*E36</f>
        <v>0</v>
      </c>
      <c r="I36" s="13">
        <f>'Charging GHE Spilt per grade'!M39*E36</f>
        <v>0</v>
      </c>
      <c r="J36" s="13">
        <f>'Charging GHE Spilt per grade'!O39*E36</f>
        <v>0</v>
      </c>
      <c r="K36" s="13">
        <f>'Charging GHE Spilt per grade'!Q39*E36</f>
        <v>0</v>
      </c>
      <c r="L36" s="13">
        <f>'Charging GHE Spilt per grade'!S39*E36</f>
        <v>0</v>
      </c>
      <c r="M36" s="13">
        <f>'Charging GHE Spilt per grade'!U39*E36</f>
        <v>0</v>
      </c>
      <c r="N36" s="13">
        <f>'Charging GHE Spilt per grade'!W39*E36</f>
        <v>0</v>
      </c>
      <c r="O36" s="13">
        <f>'Charging GHE Spilt per grade'!Y39*E36</f>
        <v>0</v>
      </c>
      <c r="P36" s="13">
        <f>'Charging GHE Spilt per grade'!AA39*E36</f>
        <v>0</v>
      </c>
      <c r="Q36" s="13">
        <f>'Charging GHE Spilt per grade'!AC39*E36</f>
        <v>0</v>
      </c>
      <c r="R36" s="15">
        <f t="shared" si="0"/>
        <v>0</v>
      </c>
    </row>
    <row r="37" spans="1:19" x14ac:dyDescent="0.35">
      <c r="A37" s="131"/>
      <c r="B37" s="156"/>
      <c r="C37" s="10" t="str">
        <f>'Charging GHE Spilt per grade'!C40</f>
        <v>SMI 1.5</v>
      </c>
      <c r="D37" s="25">
        <f>'Charging GHE Spilt per grade'!D40</f>
        <v>64.800000000000011</v>
      </c>
      <c r="E37" s="25">
        <f>D37-'Charging GHE Spilt per grade'!E40</f>
        <v>63.504000000000012</v>
      </c>
      <c r="F37" s="13">
        <f>'Charging GHE Spilt per grade'!G40*E37</f>
        <v>0</v>
      </c>
      <c r="G37" s="13">
        <f>'Charging GHE Spilt per grade'!I40*E37</f>
        <v>0</v>
      </c>
      <c r="H37" s="13">
        <f>'Charging GHE Spilt per grade'!K40*E37</f>
        <v>0</v>
      </c>
      <c r="I37" s="13">
        <f>'Charging GHE Spilt per grade'!M40*E37</f>
        <v>0</v>
      </c>
      <c r="J37" s="13">
        <f>'Charging GHE Spilt per grade'!O40*E37</f>
        <v>0</v>
      </c>
      <c r="K37" s="13">
        <f>'Charging GHE Spilt per grade'!Q40*E37</f>
        <v>0</v>
      </c>
      <c r="L37" s="13">
        <f>'Charging GHE Spilt per grade'!S40*E37</f>
        <v>0</v>
      </c>
      <c r="M37" s="13">
        <f>'Charging GHE Spilt per grade'!U40*E37</f>
        <v>0</v>
      </c>
      <c r="N37" s="13">
        <f>'Charging GHE Spilt per grade'!W40*E37</f>
        <v>0</v>
      </c>
      <c r="O37" s="13">
        <f>'Charging GHE Spilt per grade'!Y40*E37</f>
        <v>0</v>
      </c>
      <c r="P37" s="13">
        <f>'Charging GHE Spilt per grade'!AA40*E37</f>
        <v>0</v>
      </c>
      <c r="Q37" s="13">
        <f>'Charging GHE Spilt per grade'!AC40*E37</f>
        <v>0</v>
      </c>
      <c r="R37" s="15">
        <f t="shared" si="0"/>
        <v>0</v>
      </c>
    </row>
    <row r="38" spans="1:19" x14ac:dyDescent="0.35">
      <c r="A38" s="131"/>
      <c r="B38" s="156"/>
      <c r="C38" s="10" t="str">
        <f>'Charging GHE Spilt per grade'!C41</f>
        <v>SMI Dbl</v>
      </c>
      <c r="D38" s="25">
        <f>'Charging GHE Spilt per grade'!D41</f>
        <v>86.4</v>
      </c>
      <c r="E38" s="25">
        <f>D38-'Charging GHE Spilt per grade'!E41</f>
        <v>84.672000000000011</v>
      </c>
      <c r="F38" s="13">
        <f>'Charging GHE Spilt per grade'!G41*E38</f>
        <v>0</v>
      </c>
      <c r="G38" s="13">
        <f>'Charging GHE Spilt per grade'!I41*E38</f>
        <v>0</v>
      </c>
      <c r="H38" s="13">
        <f>'Charging GHE Spilt per grade'!K41*E38</f>
        <v>0</v>
      </c>
      <c r="I38" s="13">
        <f>'Charging GHE Spilt per grade'!M41*E38</f>
        <v>0</v>
      </c>
      <c r="J38" s="13">
        <f>'Charging GHE Spilt per grade'!O41*E38</f>
        <v>0</v>
      </c>
      <c r="K38" s="13">
        <f>'Charging GHE Spilt per grade'!Q41*E38</f>
        <v>0</v>
      </c>
      <c r="L38" s="13">
        <f>'Charging GHE Spilt per grade'!S41*E38</f>
        <v>0</v>
      </c>
      <c r="M38" s="13">
        <f>'Charging GHE Spilt per grade'!U41*E38</f>
        <v>0</v>
      </c>
      <c r="N38" s="13">
        <f>'Charging GHE Spilt per grade'!W41*E38</f>
        <v>0</v>
      </c>
      <c r="O38" s="13">
        <f>'Charging GHE Spilt per grade'!Y41*E38</f>
        <v>0</v>
      </c>
      <c r="P38" s="13">
        <f>'Charging GHE Spilt per grade'!AA41*E38</f>
        <v>0</v>
      </c>
      <c r="Q38" s="13">
        <f>'Charging GHE Spilt per grade'!AC41*E38</f>
        <v>0</v>
      </c>
      <c r="R38" s="15">
        <f t="shared" si="0"/>
        <v>0</v>
      </c>
      <c r="S38" s="26"/>
    </row>
    <row r="39" spans="1:19" s="6" customFormat="1" x14ac:dyDescent="0.35">
      <c r="A39" s="23"/>
      <c r="B39" s="23"/>
      <c r="C39" s="215"/>
      <c r="D39" s="215"/>
      <c r="E39" s="27"/>
      <c r="F39" s="24">
        <f>SUM(F3:F38)</f>
        <v>0</v>
      </c>
      <c r="G39" s="24">
        <f t="shared" ref="G39:Q39" si="1">SUM(G3:G38)</f>
        <v>0</v>
      </c>
      <c r="H39" s="24">
        <f t="shared" si="1"/>
        <v>0</v>
      </c>
      <c r="I39" s="24">
        <f t="shared" si="1"/>
        <v>0</v>
      </c>
      <c r="J39" s="24">
        <f t="shared" si="1"/>
        <v>0</v>
      </c>
      <c r="K39" s="24">
        <f t="shared" si="1"/>
        <v>0</v>
      </c>
      <c r="L39" s="24">
        <f t="shared" si="1"/>
        <v>0</v>
      </c>
      <c r="M39" s="24">
        <f t="shared" si="1"/>
        <v>0</v>
      </c>
      <c r="N39" s="24">
        <f t="shared" si="1"/>
        <v>0</v>
      </c>
      <c r="O39" s="24">
        <f t="shared" si="1"/>
        <v>0</v>
      </c>
      <c r="P39" s="24">
        <f t="shared" si="1"/>
        <v>0</v>
      </c>
      <c r="Q39" s="24">
        <f t="shared" si="1"/>
        <v>0</v>
      </c>
      <c r="R39" s="33">
        <f>SUM(F39:Q39)</f>
        <v>0</v>
      </c>
    </row>
    <row r="40" spans="1:19" x14ac:dyDescent="0.35">
      <c r="E40" s="28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9" x14ac:dyDescent="0.35">
      <c r="C41" s="214"/>
      <c r="D41" s="214"/>
      <c r="E41" s="16" t="s">
        <v>49</v>
      </c>
      <c r="F41" s="12">
        <f>'Period GHE data'!D30</f>
        <v>0</v>
      </c>
      <c r="G41" s="12">
        <f>'Period GHE data'!E30</f>
        <v>0</v>
      </c>
      <c r="H41" s="12">
        <f>'Period GHE data'!F30</f>
        <v>0</v>
      </c>
      <c r="I41" s="12">
        <f>'Period GHE data'!G30</f>
        <v>0</v>
      </c>
      <c r="J41" s="12">
        <f>'Period GHE data'!H30</f>
        <v>0</v>
      </c>
      <c r="K41" s="12">
        <f>'Period GHE data'!I30</f>
        <v>0</v>
      </c>
      <c r="L41" s="12">
        <f>'Period GHE data'!J30</f>
        <v>0</v>
      </c>
      <c r="M41" s="12">
        <f>'Period GHE data'!K30</f>
        <v>0</v>
      </c>
      <c r="N41" s="12">
        <f>'Period GHE data'!L30</f>
        <v>0</v>
      </c>
      <c r="O41" s="12">
        <f>'Period GHE data'!M30</f>
        <v>0</v>
      </c>
      <c r="P41" s="12">
        <f>'Period GHE data'!N30</f>
        <v>0</v>
      </c>
      <c r="Q41" s="12">
        <f>'Period GHE data'!O30</f>
        <v>0</v>
      </c>
      <c r="R41" s="12">
        <f>SUM(F41:Q41)</f>
        <v>0</v>
      </c>
    </row>
    <row r="42" spans="1:19" ht="15.75" customHeight="1" thickBot="1" x14ac:dyDescent="0.4">
      <c r="C42" s="214"/>
      <c r="D42" s="214"/>
      <c r="E42" s="30"/>
      <c r="F42" s="14">
        <f>SUM(F39:F41)</f>
        <v>0</v>
      </c>
      <c r="G42" s="14">
        <f t="shared" ref="G42:Q42" si="2">SUM(G39:G41)</f>
        <v>0</v>
      </c>
      <c r="H42" s="14">
        <f t="shared" si="2"/>
        <v>0</v>
      </c>
      <c r="I42" s="14">
        <f t="shared" si="2"/>
        <v>0</v>
      </c>
      <c r="J42" s="14">
        <f t="shared" si="2"/>
        <v>0</v>
      </c>
      <c r="K42" s="14">
        <f t="shared" si="2"/>
        <v>0</v>
      </c>
      <c r="L42" s="14">
        <f t="shared" si="2"/>
        <v>0</v>
      </c>
      <c r="M42" s="14">
        <f t="shared" si="2"/>
        <v>0</v>
      </c>
      <c r="N42" s="14">
        <f t="shared" si="2"/>
        <v>0</v>
      </c>
      <c r="O42" s="14">
        <f t="shared" si="2"/>
        <v>0</v>
      </c>
      <c r="P42" s="14">
        <f t="shared" si="2"/>
        <v>0</v>
      </c>
      <c r="Q42" s="14">
        <f t="shared" si="2"/>
        <v>0</v>
      </c>
      <c r="R42" s="12">
        <f>SUM(F42:Q42)</f>
        <v>0</v>
      </c>
      <c r="S42" s="12"/>
    </row>
    <row r="43" spans="1:19" ht="16" thickTop="1" x14ac:dyDescent="0.35">
      <c r="C43" s="214"/>
      <c r="D43" s="214"/>
      <c r="E43" s="15" t="s">
        <v>124</v>
      </c>
      <c r="F43" s="15">
        <f>('Period GHE data'!D5*'Period GHE data'!$C$5)+('Period GHE data'!D6*'Period GHE data'!$C$6)+('Period GHE data'!D7*'Period GHE data'!$C$7)+('Period GHE data'!D8*'Period GHE data'!$C$8)+('Period GHE data'!D9*'Period GHE data'!$C$9)+('Period GHE data'!D10*'Period GHE data'!$C$10)+'Period GHE data'!D28</f>
        <v>0</v>
      </c>
      <c r="G43" s="15">
        <f>('Period GHE data'!E5*'Period GHE data'!$C$5)+('Period GHE data'!E6*'Period GHE data'!$C$6)+('Period GHE data'!E7*'Period GHE data'!$C$7)+('Period GHE data'!E8*'Period GHE data'!$C$8)+('Period GHE data'!E9*'Period GHE data'!$C$9)+('Period GHE data'!E10*'Period GHE data'!$C$10)+'Period GHE data'!E28</f>
        <v>0</v>
      </c>
      <c r="H43" s="15">
        <f>('Period GHE data'!F5*'Period GHE data'!$C$5)+('Period GHE data'!F6*'Period GHE data'!$C$6)+('Period GHE data'!F7*'Period GHE data'!$C$7)+('Period GHE data'!F8*'Period GHE data'!$C$8)+('Period GHE data'!F9*'Period GHE data'!$C$9)+('Period GHE data'!F10*'Period GHE data'!$C$10)+'Period GHE data'!F28</f>
        <v>0</v>
      </c>
      <c r="I43" s="15">
        <f>('Period GHE data'!G5*'Period GHE data'!$C$5)+('Period GHE data'!G6*'Period GHE data'!$C$6)+('Period GHE data'!G7*'Period GHE data'!$C$7)+('Period GHE data'!G8*'Period GHE data'!$C$8)+('Period GHE data'!G9*'Period GHE data'!$C$9)+('Period GHE data'!G10*'Period GHE data'!$C$10)+'Period GHE data'!G28</f>
        <v>0</v>
      </c>
      <c r="J43" s="15">
        <f>('Period GHE data'!H5*'Period GHE data'!$C$5)+('Period GHE data'!H6*'Period GHE data'!$C$6)+('Period GHE data'!H7*'Period GHE data'!$C$7)+('Period GHE data'!H8*'Period GHE data'!$C$8)+('Period GHE data'!H9*'Period GHE data'!$C$9)+('Period GHE data'!H10*'Period GHE data'!$C$10)+'Period GHE data'!H28</f>
        <v>0</v>
      </c>
      <c r="K43" s="15">
        <f>('Period GHE data'!I5*'Period GHE data'!$C$5)+('Period GHE data'!I6*'Period GHE data'!$C$6)+('Period GHE data'!I7*'Period GHE data'!$C$7)+('Period GHE data'!I8*'Period GHE data'!$C$8)+('Period GHE data'!I9*'Period GHE data'!$C$9)+('Period GHE data'!I10*'Period GHE data'!$C$10)+'Period GHE data'!I28</f>
        <v>0</v>
      </c>
      <c r="L43" s="15">
        <f>('Period GHE data'!J5*'Period GHE data'!$C$5)+('Period GHE data'!J6*'Period GHE data'!$C$6)+('Period GHE data'!J7*'Period GHE data'!$C$7)+('Period GHE data'!J8*'Period GHE data'!$C$8)+('Period GHE data'!J9*'Period GHE data'!$C$9)+('Period GHE data'!J10*'Period GHE data'!$C$10)+'Period GHE data'!J28</f>
        <v>0</v>
      </c>
      <c r="M43" s="15">
        <f>('Period GHE data'!K5*'Period GHE data'!$C$5)+('Period GHE data'!K6*'Period GHE data'!$C$6)+('Period GHE data'!K7*'Period GHE data'!$C$7)+('Period GHE data'!K8*'Period GHE data'!$C$8)+('Period GHE data'!K9*'Period GHE data'!$C$9)+('Period GHE data'!K10*'Period GHE data'!$C$10)+'Period GHE data'!K28</f>
        <v>0</v>
      </c>
      <c r="N43" s="15">
        <f>('Period GHE data'!L5*'Period GHE data'!$C$5)+('Period GHE data'!L6*'Period GHE data'!$C$6)+('Period GHE data'!L7*'Period GHE data'!$C$7)+('Period GHE data'!L8*'Period GHE data'!$C$8)+('Period GHE data'!L9*'Period GHE data'!$C$9)+('Period GHE data'!L10*'Period GHE data'!$C$10)+'Period GHE data'!L28</f>
        <v>0</v>
      </c>
      <c r="O43" s="15">
        <f>('Period GHE data'!M5*'Period GHE data'!$C$5)+('Period GHE data'!M6*'Period GHE data'!$C$6)+('Period GHE data'!M7*'Period GHE data'!$C$7)+('Period GHE data'!M8*'Period GHE data'!$C$8)+('Period GHE data'!M9*'Period GHE data'!$C$9)+('Period GHE data'!M10*'Period GHE data'!$C$10)+'Period GHE data'!M28</f>
        <v>0</v>
      </c>
      <c r="P43" s="15">
        <f>('Period GHE data'!N5*'Period GHE data'!$C$5)+('Period GHE data'!N6*'Period GHE data'!$C$6)+('Period GHE data'!N7*'Period GHE data'!$C$7)+('Period GHE data'!N8*'Period GHE data'!$C$8)+('Period GHE data'!N9*'Period GHE data'!$C$9)+('Period GHE data'!N10*'Period GHE data'!$C$10)+'Period GHE data'!N28</f>
        <v>0</v>
      </c>
      <c r="Q43" s="15">
        <f>('Period GHE data'!O5*'Period GHE data'!$C$5)+('Period GHE data'!O6*'Period GHE data'!$C$6)+('Period GHE data'!O7*'Period GHE data'!$C$7)+('Period GHE data'!O8*'Period GHE data'!$C$8)+('Period GHE data'!O9*'Period GHE data'!$C$9)+('Period GHE data'!O10*'Period GHE data'!$C$10)+'Period GHE data'!O28</f>
        <v>0</v>
      </c>
      <c r="R43" s="12">
        <f>SUM(F43:Q43)</f>
        <v>0</v>
      </c>
      <c r="S43" s="35"/>
    </row>
    <row r="44" spans="1:19" x14ac:dyDescent="0.35">
      <c r="C44" s="214"/>
      <c r="D44" s="214"/>
      <c r="E44" s="26" t="s">
        <v>83</v>
      </c>
      <c r="F44" s="15">
        <f>F43-F42</f>
        <v>0</v>
      </c>
      <c r="G44" s="15">
        <f t="shared" ref="G44:Q44" si="3">G43-G42</f>
        <v>0</v>
      </c>
      <c r="H44" s="15">
        <f t="shared" si="3"/>
        <v>0</v>
      </c>
      <c r="I44" s="15">
        <f t="shared" si="3"/>
        <v>0</v>
      </c>
      <c r="J44" s="15">
        <f t="shared" si="3"/>
        <v>0</v>
      </c>
      <c r="K44" s="15">
        <f t="shared" si="3"/>
        <v>0</v>
      </c>
      <c r="L44" s="15">
        <f t="shared" si="3"/>
        <v>0</v>
      </c>
      <c r="M44" s="15">
        <f t="shared" si="3"/>
        <v>0</v>
      </c>
      <c r="N44" s="15">
        <f t="shared" si="3"/>
        <v>0</v>
      </c>
      <c r="O44" s="15">
        <f t="shared" si="3"/>
        <v>0</v>
      </c>
      <c r="P44" s="15">
        <f t="shared" si="3"/>
        <v>0</v>
      </c>
      <c r="Q44" s="15">
        <f t="shared" si="3"/>
        <v>0</v>
      </c>
      <c r="R44" s="12">
        <f>SUM(F44:Q44)</f>
        <v>0</v>
      </c>
    </row>
  </sheetData>
  <sheetProtection algorithmName="SHA-512" hashValue="BfPJ1briIzLTQzmPWObLZHArPpX7r4Fux/H52KjqF+RxUxadZuuxY9eu3s/j1ot0V3FbwRFlNrqat2ujHdLpqw==" saltValue="aogFiQZCQSdoIejr30HFcw==" spinCount="100000" sheet="1" objects="1" scenarios="1"/>
  <mergeCells count="21">
    <mergeCell ref="C44:D44"/>
    <mergeCell ref="P1:P2"/>
    <mergeCell ref="Q1:Q2"/>
    <mergeCell ref="K1:K2"/>
    <mergeCell ref="L1:L2"/>
    <mergeCell ref="M1:M2"/>
    <mergeCell ref="N1:N2"/>
    <mergeCell ref="O1:O2"/>
    <mergeCell ref="H1:H2"/>
    <mergeCell ref="I1:I2"/>
    <mergeCell ref="J1:J2"/>
    <mergeCell ref="E1:E2"/>
    <mergeCell ref="C39:D39"/>
    <mergeCell ref="C41:D41"/>
    <mergeCell ref="C42:D42"/>
    <mergeCell ref="C43:D43"/>
    <mergeCell ref="G1:G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J65"/>
  <sheetViews>
    <sheetView showGridLines="0" zoomScaleNormal="100" workbookViewId="0">
      <selection activeCell="D21" sqref="D21"/>
    </sheetView>
  </sheetViews>
  <sheetFormatPr defaultColWidth="8.84375" defaultRowHeight="15.5" x14ac:dyDescent="0.35"/>
  <cols>
    <col min="1" max="1" width="19" customWidth="1"/>
    <col min="2" max="2" width="9.69140625" bestFit="1" customWidth="1"/>
    <col min="3" max="3" width="17" customWidth="1"/>
    <col min="4" max="4" width="14.69140625" customWidth="1"/>
    <col min="5" max="5" width="16.23046875" customWidth="1"/>
    <col min="6" max="6" width="29.69140625" customWidth="1"/>
    <col min="7" max="7" width="28.84375" customWidth="1"/>
    <col min="8" max="8" width="13.53515625" customWidth="1"/>
    <col min="9" max="9" width="10.84375" bestFit="1" customWidth="1"/>
    <col min="10" max="10" width="15.53515625" customWidth="1"/>
  </cols>
  <sheetData>
    <row r="1" spans="1:10" x14ac:dyDescent="0.35">
      <c r="A1" s="6" t="s">
        <v>160</v>
      </c>
    </row>
    <row r="2" spans="1:10" x14ac:dyDescent="0.35">
      <c r="A2" s="6"/>
      <c r="G2" s="38" t="s">
        <v>0</v>
      </c>
    </row>
    <row r="3" spans="1:10" x14ac:dyDescent="0.35">
      <c r="A3" s="39" t="s">
        <v>1</v>
      </c>
      <c r="I3" s="196" t="str">
        <f>'[1]Final invoice totals'!A4</f>
        <v>Regulated Charge PSL</v>
      </c>
      <c r="J3" s="196"/>
    </row>
    <row r="4" spans="1:10" s="41" customFormat="1" x14ac:dyDescent="0.35">
      <c r="A4" s="40" t="s">
        <v>2</v>
      </c>
      <c r="B4" s="106"/>
      <c r="C4" s="106"/>
      <c r="D4" s="106"/>
      <c r="E4" s="106"/>
      <c r="F4" s="106"/>
      <c r="G4" s="106"/>
      <c r="H4" s="106" t="s">
        <v>3</v>
      </c>
      <c r="I4" s="106" t="s">
        <v>4</v>
      </c>
      <c r="J4" s="106" t="s">
        <v>5</v>
      </c>
    </row>
    <row r="5" spans="1:10" x14ac:dyDescent="0.35">
      <c r="A5" t="s">
        <v>161</v>
      </c>
      <c r="G5" s="99" t="s">
        <v>6</v>
      </c>
      <c r="H5" s="108" t="str">
        <f>'[1]PIA discount calculation'!D6</f>
        <v>OV Single</v>
      </c>
      <c r="I5" s="109">
        <f>'PSL discount calculation'!AD6</f>
        <v>0</v>
      </c>
      <c r="J5" s="110">
        <f>'PSL Invoice '!S7</f>
        <v>0</v>
      </c>
    </row>
    <row r="6" spans="1:10" x14ac:dyDescent="0.35">
      <c r="A6" t="s">
        <v>162</v>
      </c>
      <c r="G6" s="90">
        <f>'Annual data (rates, Bands, disc'!E3</f>
        <v>0.9</v>
      </c>
      <c r="H6" s="108" t="str">
        <f>'[1]PIA discount calculation'!D7</f>
        <v>OV 1.5</v>
      </c>
      <c r="I6" s="109">
        <f>'PSL discount calculation'!AD7</f>
        <v>0</v>
      </c>
      <c r="J6" s="110">
        <f>'PSL Invoice '!S8</f>
        <v>0</v>
      </c>
    </row>
    <row r="7" spans="1:10" x14ac:dyDescent="0.35">
      <c r="A7" t="s">
        <v>7</v>
      </c>
      <c r="G7" s="99"/>
      <c r="H7" s="108" t="str">
        <f>'[1]PIA discount calculation'!D8</f>
        <v>OV Dbl</v>
      </c>
      <c r="I7" s="109">
        <f>'PSL discount calculation'!AD8</f>
        <v>0</v>
      </c>
      <c r="J7" s="110">
        <f>'PSL Invoice '!S9</f>
        <v>0</v>
      </c>
    </row>
    <row r="8" spans="1:10" x14ac:dyDescent="0.35">
      <c r="G8" s="99"/>
      <c r="H8" s="108" t="str">
        <f>'[1]PIA discount calculation'!D9</f>
        <v>MHI Single</v>
      </c>
      <c r="I8" s="109">
        <f>'PSL discount calculation'!AD9</f>
        <v>0</v>
      </c>
      <c r="J8" s="110">
        <f>'PSL Invoice '!S10</f>
        <v>0</v>
      </c>
    </row>
    <row r="9" spans="1:10" x14ac:dyDescent="0.35">
      <c r="A9" s="40" t="s">
        <v>8</v>
      </c>
      <c r="G9" s="99"/>
      <c r="H9" s="108" t="str">
        <f>'[1]PIA discount calculation'!D10</f>
        <v>MHI 1.5</v>
      </c>
      <c r="I9" s="109">
        <f>'PSL discount calculation'!AD10</f>
        <v>0</v>
      </c>
      <c r="J9" s="110">
        <f>'PSL Invoice '!S11</f>
        <v>0</v>
      </c>
    </row>
    <row r="10" spans="1:10" x14ac:dyDescent="0.35">
      <c r="A10" t="s">
        <v>9</v>
      </c>
      <c r="G10" s="99"/>
      <c r="H10" s="108" t="str">
        <f>'[1]PIA discount calculation'!D11</f>
        <v>MHI Dbl</v>
      </c>
      <c r="I10" s="109">
        <f>'PSL discount calculation'!AD11</f>
        <v>0</v>
      </c>
      <c r="J10" s="110">
        <f>'PSL Invoice '!S12</f>
        <v>0</v>
      </c>
    </row>
    <row r="11" spans="1:10" x14ac:dyDescent="0.35">
      <c r="G11" s="100" t="s">
        <v>10</v>
      </c>
      <c r="H11" s="108" t="str">
        <f>'[1]PIA discount calculation'!D14</f>
        <v>OV Single</v>
      </c>
      <c r="I11" s="109">
        <f>'PSL discount calculation'!AD12</f>
        <v>0</v>
      </c>
      <c r="J11" s="110">
        <f>'PSL Invoice '!S13</f>
        <v>0</v>
      </c>
    </row>
    <row r="12" spans="1:10" x14ac:dyDescent="0.35">
      <c r="A12" s="40" t="s">
        <v>11</v>
      </c>
      <c r="G12" s="91">
        <f>'Annual data (rates, Bands, disc'!E4</f>
        <v>0.75</v>
      </c>
      <c r="H12" s="108" t="str">
        <f>'[1]PIA discount calculation'!D15</f>
        <v>OV 1.5</v>
      </c>
      <c r="I12" s="109">
        <f>'PSL discount calculation'!AD13</f>
        <v>0</v>
      </c>
      <c r="J12" s="110">
        <f>'PSL Invoice '!S14</f>
        <v>0</v>
      </c>
    </row>
    <row r="13" spans="1:10" x14ac:dyDescent="0.35">
      <c r="A13" t="s">
        <v>12</v>
      </c>
      <c r="G13" s="100"/>
      <c r="H13" s="108" t="str">
        <f>'[1]PIA discount calculation'!D16</f>
        <v>OV Dbl</v>
      </c>
      <c r="I13" s="109">
        <f>'PSL discount calculation'!AD14</f>
        <v>0</v>
      </c>
      <c r="J13" s="110">
        <f>'PSL Invoice '!S15</f>
        <v>0</v>
      </c>
    </row>
    <row r="14" spans="1:10" x14ac:dyDescent="0.35">
      <c r="A14" t="s">
        <v>13</v>
      </c>
      <c r="G14" s="100"/>
      <c r="H14" s="108" t="str">
        <f>'[1]PIA discount calculation'!D17</f>
        <v>MHI Single</v>
      </c>
      <c r="I14" s="109">
        <f>'PSL discount calculation'!AD15</f>
        <v>0</v>
      </c>
      <c r="J14" s="110">
        <f>'PSL Invoice '!S16</f>
        <v>0</v>
      </c>
    </row>
    <row r="15" spans="1:10" x14ac:dyDescent="0.35">
      <c r="G15" s="100"/>
      <c r="H15" s="108" t="str">
        <f>'[1]PIA discount calculation'!D18</f>
        <v>MHI 1.5</v>
      </c>
      <c r="I15" s="109">
        <f>'PSL discount calculation'!AD16</f>
        <v>0</v>
      </c>
      <c r="J15" s="110">
        <f>'PSL Invoice '!S17</f>
        <v>0</v>
      </c>
    </row>
    <row r="16" spans="1:10" x14ac:dyDescent="0.35">
      <c r="A16" s="40" t="s">
        <v>14</v>
      </c>
      <c r="G16" s="100"/>
      <c r="H16" s="108" t="str">
        <f>'[1]PIA discount calculation'!D19</f>
        <v>MHI Dbl</v>
      </c>
      <c r="I16" s="109">
        <f>'PSL discount calculation'!AD17</f>
        <v>0</v>
      </c>
      <c r="J16" s="110">
        <f>'PSL Invoice '!S18</f>
        <v>0</v>
      </c>
    </row>
    <row r="17" spans="1:10" ht="16.5" customHeight="1" x14ac:dyDescent="0.35">
      <c r="A17" t="s">
        <v>15</v>
      </c>
      <c r="G17" s="101" t="s">
        <v>16</v>
      </c>
      <c r="H17" s="108" t="str">
        <f>'[1]PIA discount calculation'!D22</f>
        <v>OV Single</v>
      </c>
      <c r="I17" s="109">
        <f>'PSL discount calculation'!AD18</f>
        <v>0</v>
      </c>
      <c r="J17" s="110">
        <f>'PSL Invoice '!S19</f>
        <v>0</v>
      </c>
    </row>
    <row r="18" spans="1:10" x14ac:dyDescent="0.35">
      <c r="G18" s="92">
        <f>'Annual data (rates, Bands, disc'!E5</f>
        <v>0.17</v>
      </c>
      <c r="H18" s="108" t="str">
        <f>'[1]PIA discount calculation'!D23</f>
        <v>OV 1.5</v>
      </c>
      <c r="I18" s="109">
        <f>'PSL discount calculation'!AD19</f>
        <v>0</v>
      </c>
      <c r="J18" s="110">
        <f>'PSL Invoice '!S20</f>
        <v>0</v>
      </c>
    </row>
    <row r="19" spans="1:10" ht="15.75" customHeight="1" x14ac:dyDescent="0.35">
      <c r="A19" s="7" t="s">
        <v>125</v>
      </c>
      <c r="B19" s="3"/>
      <c r="C19" s="3"/>
      <c r="D19" s="29" t="s">
        <v>18</v>
      </c>
      <c r="G19" s="101"/>
      <c r="H19" s="108" t="str">
        <f>'[1]PIA discount calculation'!D24</f>
        <v>OV Dbl</v>
      </c>
      <c r="I19" s="109">
        <f>'PSL discount calculation'!AD20</f>
        <v>0</v>
      </c>
      <c r="J19" s="110">
        <f>'PSL Invoice '!S21</f>
        <v>0</v>
      </c>
    </row>
    <row r="20" spans="1:10" s="41" customFormat="1" ht="12.75" customHeight="1" x14ac:dyDescent="0.35">
      <c r="A20" s="44" t="s">
        <v>19</v>
      </c>
      <c r="B20" s="44" t="s">
        <v>20</v>
      </c>
      <c r="C20" s="44" t="s">
        <v>21</v>
      </c>
      <c r="D20" s="37" t="s">
        <v>126</v>
      </c>
      <c r="E20" s="106"/>
      <c r="F20"/>
      <c r="G20" s="101"/>
      <c r="H20" s="108" t="str">
        <f>'[1]PIA discount calculation'!D25</f>
        <v>MHI Single</v>
      </c>
      <c r="I20" s="109">
        <f>'PSL discount calculation'!AD21</f>
        <v>0</v>
      </c>
      <c r="J20" s="110">
        <f>'PSL Invoice '!S22</f>
        <v>0</v>
      </c>
    </row>
    <row r="21" spans="1:10" x14ac:dyDescent="0.35">
      <c r="A21" s="106" t="s">
        <v>23</v>
      </c>
      <c r="B21" s="106" t="s">
        <v>24</v>
      </c>
      <c r="C21" s="111">
        <f>'Annual data (rates, Bands, disc'!B26</f>
        <v>65.900000000000006</v>
      </c>
      <c r="D21" s="112"/>
      <c r="G21" s="101"/>
      <c r="H21" s="108" t="str">
        <f>'[1]PIA discount calculation'!D26</f>
        <v>MHI 1.5</v>
      </c>
      <c r="I21" s="109">
        <f>'PSL discount calculation'!AD22</f>
        <v>0</v>
      </c>
      <c r="J21" s="110">
        <f>'PSL Invoice '!S23</f>
        <v>0</v>
      </c>
    </row>
    <row r="22" spans="1:10" x14ac:dyDescent="0.35">
      <c r="A22" s="106" t="s">
        <v>23</v>
      </c>
      <c r="B22" s="106" t="s">
        <v>25</v>
      </c>
      <c r="C22" s="111">
        <f>'Annual data (rates, Bands, disc'!B27</f>
        <v>98.850000000000009</v>
      </c>
      <c r="D22" s="113"/>
      <c r="G22" s="101"/>
      <c r="H22" s="108" t="str">
        <f>'[1]PIA discount calculation'!D27</f>
        <v>MHI Dbl</v>
      </c>
      <c r="I22" s="109">
        <f>'PSL discount calculation'!AD23</f>
        <v>0</v>
      </c>
      <c r="J22" s="110">
        <f>'PSL Invoice '!S24</f>
        <v>0</v>
      </c>
    </row>
    <row r="23" spans="1:10" x14ac:dyDescent="0.35">
      <c r="A23" s="106" t="s">
        <v>23</v>
      </c>
      <c r="B23" s="106" t="s">
        <v>26</v>
      </c>
      <c r="C23" s="111">
        <f>'Annual data (rates, Bands, disc'!B28</f>
        <v>131.80000000000001</v>
      </c>
      <c r="D23" s="114"/>
      <c r="G23" s="93" t="s">
        <v>27</v>
      </c>
      <c r="H23" s="108" t="str">
        <f>'[1]PIA discount calculation'!D30</f>
        <v>OV Single</v>
      </c>
      <c r="I23" s="109">
        <f>'PSL discount calculation'!AD24</f>
        <v>0</v>
      </c>
      <c r="J23" s="110">
        <f>'PSL Invoice '!S25</f>
        <v>0</v>
      </c>
    </row>
    <row r="24" spans="1:10" x14ac:dyDescent="0.35">
      <c r="A24" s="106"/>
      <c r="B24" s="197" t="s">
        <v>28</v>
      </c>
      <c r="C24" s="198"/>
      <c r="D24" s="128">
        <f t="shared" ref="D24" si="0">SUM(D21:D23)</f>
        <v>0</v>
      </c>
      <c r="G24" s="94">
        <f>'Annual data (rates, Bands, disc'!E6</f>
        <v>0.06</v>
      </c>
      <c r="H24" s="108" t="str">
        <f>'[1]PIA discount calculation'!D31</f>
        <v>OV 1.5</v>
      </c>
      <c r="I24" s="109">
        <f>'PSL discount calculation'!AD25</f>
        <v>0</v>
      </c>
      <c r="J24" s="110">
        <f>'PSL Invoice '!S26</f>
        <v>0</v>
      </c>
    </row>
    <row r="25" spans="1:10" x14ac:dyDescent="0.35">
      <c r="A25" s="106" t="s">
        <v>29</v>
      </c>
      <c r="B25" s="106" t="s">
        <v>24</v>
      </c>
      <c r="C25" s="111">
        <f>'Annual data (rates, Bands, disc'!B29</f>
        <v>43.2</v>
      </c>
      <c r="D25" s="112"/>
      <c r="G25" s="93"/>
      <c r="H25" s="108" t="str">
        <f>'[1]PIA discount calculation'!D32</f>
        <v>OV Dbl</v>
      </c>
      <c r="I25" s="109">
        <f>'PSL discount calculation'!AD26</f>
        <v>0</v>
      </c>
      <c r="J25" s="110">
        <f>'PSL Invoice '!S27</f>
        <v>0</v>
      </c>
    </row>
    <row r="26" spans="1:10" x14ac:dyDescent="0.35">
      <c r="A26" s="106" t="s">
        <v>29</v>
      </c>
      <c r="B26" s="106" t="s">
        <v>25</v>
      </c>
      <c r="C26" s="111">
        <f>'Annual data (rates, Bands, disc'!B30</f>
        <v>64.800000000000011</v>
      </c>
      <c r="D26" s="113"/>
      <c r="G26" s="93"/>
      <c r="H26" s="108" t="str">
        <f>'[1]PIA discount calculation'!D33</f>
        <v>MHI Single</v>
      </c>
      <c r="I26" s="109">
        <f>'PSL discount calculation'!AD27</f>
        <v>0</v>
      </c>
      <c r="J26" s="110">
        <f>'PSL Invoice '!S28</f>
        <v>0</v>
      </c>
    </row>
    <row r="27" spans="1:10" x14ac:dyDescent="0.35">
      <c r="A27" s="106" t="s">
        <v>29</v>
      </c>
      <c r="B27" s="106" t="s">
        <v>26</v>
      </c>
      <c r="C27" s="111">
        <f>'Annual data (rates, Bands, disc'!B31</f>
        <v>86.4</v>
      </c>
      <c r="D27" s="114"/>
      <c r="F27" s="106"/>
      <c r="G27" s="93"/>
      <c r="H27" s="108" t="str">
        <f>'[1]PIA discount calculation'!D34</f>
        <v>MHI 1.5</v>
      </c>
      <c r="I27" s="109">
        <f>'PSL discount calculation'!AD28</f>
        <v>0</v>
      </c>
      <c r="J27" s="110">
        <f>'PSL Invoice '!S29</f>
        <v>0</v>
      </c>
    </row>
    <row r="28" spans="1:10" ht="16" thickBot="1" x14ac:dyDescent="0.4">
      <c r="A28" s="106"/>
      <c r="B28" s="197" t="s">
        <v>30</v>
      </c>
      <c r="C28" s="198"/>
      <c r="D28" s="116">
        <f t="shared" ref="D28" si="1">SUM(D25:D27)</f>
        <v>0</v>
      </c>
      <c r="G28" s="93"/>
      <c r="H28" s="108" t="str">
        <f>'[1]PIA discount calculation'!D35</f>
        <v>MHI Dbl</v>
      </c>
      <c r="I28" s="109">
        <f>'PSL discount calculation'!AD29</f>
        <v>0</v>
      </c>
      <c r="J28" s="110">
        <f>'PSL Invoice '!S30</f>
        <v>0</v>
      </c>
    </row>
    <row r="29" spans="1:10" ht="16.5" thickTop="1" thickBot="1" x14ac:dyDescent="0.4">
      <c r="B29" s="197" t="s">
        <v>31</v>
      </c>
      <c r="C29" s="198"/>
      <c r="D29" s="73">
        <f>D24+D28</f>
        <v>0</v>
      </c>
      <c r="G29" s="95" t="s">
        <v>32</v>
      </c>
      <c r="H29" s="108" t="str">
        <f>'[1]PIA discount calculation'!D38</f>
        <v>OV Single</v>
      </c>
      <c r="I29" s="109">
        <f>'PSL discount calculation'!AD30</f>
        <v>0</v>
      </c>
      <c r="J29" s="110">
        <f>'PSL Invoice '!S31</f>
        <v>0</v>
      </c>
    </row>
    <row r="30" spans="1:10" x14ac:dyDescent="0.35">
      <c r="G30" s="96">
        <f>'Annual data (rates, Bands, disc'!E7</f>
        <v>0.04</v>
      </c>
      <c r="H30" s="108" t="str">
        <f>'[1]PIA discount calculation'!D39</f>
        <v>OV 1.5</v>
      </c>
      <c r="I30" s="109">
        <f>'PSL discount calculation'!AD31</f>
        <v>0</v>
      </c>
      <c r="J30" s="110">
        <f>'PSL Invoice '!S32</f>
        <v>0</v>
      </c>
    </row>
    <row r="31" spans="1:10" x14ac:dyDescent="0.35">
      <c r="A31" s="7" t="s">
        <v>127</v>
      </c>
      <c r="D31" s="48"/>
      <c r="G31" s="95"/>
      <c r="H31" s="108" t="str">
        <f>'[1]PIA discount calculation'!D40</f>
        <v>OV Dbl</v>
      </c>
      <c r="I31" s="109">
        <f>'PSL discount calculation'!AD32</f>
        <v>0</v>
      </c>
      <c r="J31" s="110">
        <f>'PSL Invoice '!S33</f>
        <v>0</v>
      </c>
    </row>
    <row r="32" spans="1:10" x14ac:dyDescent="0.35">
      <c r="A32" s="106"/>
      <c r="B32" s="44" t="s">
        <v>34</v>
      </c>
      <c r="C32" s="44" t="str">
        <f>C20</f>
        <v>Full Cost Charge Rate</v>
      </c>
      <c r="D32" s="37" t="str">
        <f>D20</f>
        <v>PSL</v>
      </c>
      <c r="G32" s="95"/>
      <c r="H32" s="108" t="str">
        <f>'[1]PIA discount calculation'!D41</f>
        <v>MHI Single</v>
      </c>
      <c r="I32" s="109">
        <f>'PSL discount calculation'!AD33</f>
        <v>0</v>
      </c>
      <c r="J32" s="110">
        <f>'PSL Invoice '!S34</f>
        <v>0</v>
      </c>
    </row>
    <row r="33" spans="1:10" s="41" customFormat="1" x14ac:dyDescent="0.35">
      <c r="A33" s="106" t="s">
        <v>35</v>
      </c>
      <c r="B33" s="106" t="s">
        <v>36</v>
      </c>
      <c r="C33" s="111">
        <f>'Annual data (rates, Bands, disc'!C12</f>
        <v>38.35</v>
      </c>
      <c r="D33" s="112"/>
      <c r="E33" s="44"/>
      <c r="F33"/>
      <c r="G33" s="95"/>
      <c r="H33" s="108" t="str">
        <f>'[1]PIA discount calculation'!D42</f>
        <v>MHI 1.5</v>
      </c>
      <c r="I33" s="109">
        <f>'PSL discount calculation'!AD34</f>
        <v>0</v>
      </c>
      <c r="J33" s="110">
        <f>'PSL Invoice '!S35</f>
        <v>0</v>
      </c>
    </row>
    <row r="34" spans="1:10" x14ac:dyDescent="0.35">
      <c r="A34" s="106" t="s">
        <v>37</v>
      </c>
      <c r="B34" s="106" t="s">
        <v>38</v>
      </c>
      <c r="C34" s="111">
        <f>'Annual data (rates, Bands, disc'!C13</f>
        <v>130.9</v>
      </c>
      <c r="D34" s="113"/>
      <c r="G34" s="95"/>
      <c r="H34" s="108" t="str">
        <f>'[1]PIA discount calculation'!D43</f>
        <v>MHI Dbl</v>
      </c>
      <c r="I34" s="109">
        <f>'PSL discount calculation'!AD35</f>
        <v>0</v>
      </c>
      <c r="J34" s="110">
        <f>'PSL Invoice '!S36</f>
        <v>0</v>
      </c>
    </row>
    <row r="35" spans="1:10" x14ac:dyDescent="0.35">
      <c r="A35" s="106" t="s">
        <v>37</v>
      </c>
      <c r="B35" s="106" t="s">
        <v>39</v>
      </c>
      <c r="C35" s="111">
        <f>'Annual data (rates, Bands, disc'!C14</f>
        <v>130.9</v>
      </c>
      <c r="D35" s="113"/>
      <c r="G35" s="97" t="s">
        <v>40</v>
      </c>
      <c r="H35" s="108" t="str">
        <f>'[1]PIA discount calculation'!D46</f>
        <v>OV Single</v>
      </c>
      <c r="I35" s="109">
        <f>'PSL discount calculation'!AD36</f>
        <v>0</v>
      </c>
      <c r="J35" s="110">
        <f>'PSL Invoice '!S37</f>
        <v>0</v>
      </c>
    </row>
    <row r="36" spans="1:10" x14ac:dyDescent="0.35">
      <c r="A36" s="106" t="s">
        <v>41</v>
      </c>
      <c r="B36" s="106" t="s">
        <v>42</v>
      </c>
      <c r="C36" s="111">
        <f>'Annual data (rates, Bands, disc'!C15</f>
        <v>62.05</v>
      </c>
      <c r="D36" s="113"/>
      <c r="E36" s="106"/>
      <c r="G36" s="98">
        <f>'Annual data (rates, Bands, disc'!E8</f>
        <v>0.02</v>
      </c>
      <c r="H36" s="108" t="str">
        <f>'[1]PIA discount calculation'!D47</f>
        <v>OV 1.5</v>
      </c>
      <c r="I36" s="109">
        <f>'PSL discount calculation'!AD37</f>
        <v>0</v>
      </c>
      <c r="J36" s="110">
        <f>'PSL Invoice '!S38</f>
        <v>0</v>
      </c>
    </row>
    <row r="37" spans="1:10" x14ac:dyDescent="0.35">
      <c r="A37" s="106" t="s">
        <v>43</v>
      </c>
      <c r="B37" s="106" t="s">
        <v>44</v>
      </c>
      <c r="C37" s="111">
        <f>'Annual data (rates, Bands, disc'!C16</f>
        <v>39.700000000000003</v>
      </c>
      <c r="D37" s="113"/>
      <c r="G37" s="97"/>
      <c r="H37" s="108" t="str">
        <f>'[1]PIA discount calculation'!D48</f>
        <v>OV Dbl</v>
      </c>
      <c r="I37" s="109">
        <f>'PSL discount calculation'!AD38</f>
        <v>0</v>
      </c>
      <c r="J37" s="110">
        <f>'PSL Invoice '!S39</f>
        <v>0</v>
      </c>
    </row>
    <row r="38" spans="1:10" x14ac:dyDescent="0.35">
      <c r="A38" s="106" t="s">
        <v>45</v>
      </c>
      <c r="B38" s="106" t="s">
        <v>46</v>
      </c>
      <c r="C38" s="111">
        <f>'Annual data (rates, Bands, disc'!C17</f>
        <v>21.25</v>
      </c>
      <c r="D38" s="113"/>
      <c r="G38" s="102"/>
      <c r="H38" s="108" t="str">
        <f>'[1]PIA discount calculation'!D49</f>
        <v>MHI Single</v>
      </c>
      <c r="I38" s="109">
        <f>'PSL discount calculation'!AD39</f>
        <v>0</v>
      </c>
      <c r="J38" s="110">
        <f>'PSL Invoice '!S40</f>
        <v>0</v>
      </c>
    </row>
    <row r="39" spans="1:10" x14ac:dyDescent="0.35">
      <c r="A39" s="106" t="s">
        <v>43</v>
      </c>
      <c r="B39" s="106" t="s">
        <v>47</v>
      </c>
      <c r="C39" s="111">
        <f>'Annual data (rates, Bands, disc'!C18</f>
        <v>39.700000000000003</v>
      </c>
      <c r="D39" s="113"/>
      <c r="G39" s="102"/>
      <c r="H39" s="108" t="str">
        <f>'[1]PIA discount calculation'!D50</f>
        <v>MHI 1.5</v>
      </c>
      <c r="I39" s="109">
        <f>'PSL discount calculation'!AD40</f>
        <v>0</v>
      </c>
      <c r="J39" s="110">
        <f>'PSL Invoice '!S41</f>
        <v>0</v>
      </c>
    </row>
    <row r="40" spans="1:10" x14ac:dyDescent="0.35">
      <c r="A40" s="106" t="s">
        <v>45</v>
      </c>
      <c r="B40" s="106" t="s">
        <v>48</v>
      </c>
      <c r="C40" s="111">
        <f>'Annual data (rates, Bands, disc'!C19</f>
        <v>21.25</v>
      </c>
      <c r="D40" s="113"/>
      <c r="G40" s="102"/>
      <c r="H40" s="108" t="str">
        <f>'[1]PIA discount calculation'!D51</f>
        <v>MHI Dbl</v>
      </c>
      <c r="I40" s="109">
        <f>'PSL discount calculation'!AD41</f>
        <v>0</v>
      </c>
      <c r="J40" s="110">
        <f>'PSL Invoice '!S42</f>
        <v>0</v>
      </c>
    </row>
    <row r="41" spans="1:10" x14ac:dyDescent="0.35">
      <c r="A41" s="106" t="s">
        <v>159</v>
      </c>
      <c r="B41" s="106" t="s">
        <v>158</v>
      </c>
      <c r="C41" s="111">
        <f>'Annual data (rates, Bands, disc'!C20</f>
        <v>21.25</v>
      </c>
      <c r="D41" s="113"/>
      <c r="G41" s="53" t="s">
        <v>49</v>
      </c>
      <c r="H41" s="53"/>
      <c r="I41" s="3"/>
      <c r="J41" s="54">
        <f>'PSL Invoice '!S45</f>
        <v>0</v>
      </c>
    </row>
    <row r="42" spans="1:10" ht="16" thickBot="1" x14ac:dyDescent="0.4">
      <c r="A42" s="106"/>
      <c r="B42" s="106"/>
      <c r="D42" s="51">
        <f>SUM(D33:D41)</f>
        <v>0</v>
      </c>
      <c r="G42" s="3" t="s">
        <v>50</v>
      </c>
      <c r="H42" s="3"/>
      <c r="I42" s="3"/>
      <c r="J42" s="54">
        <f>SUM(J5:J41)</f>
        <v>0</v>
      </c>
    </row>
    <row r="43" spans="1:10" ht="16" thickTop="1" x14ac:dyDescent="0.35">
      <c r="G43" s="3" t="s">
        <v>52</v>
      </c>
      <c r="H43" s="3"/>
      <c r="I43" s="109">
        <f>D45*52</f>
        <v>0</v>
      </c>
      <c r="J43" s="54">
        <f>I43*C45</f>
        <v>0</v>
      </c>
    </row>
    <row r="44" spans="1:10" x14ac:dyDescent="0.35">
      <c r="A44" s="7" t="s">
        <v>14</v>
      </c>
      <c r="D44" s="83" t="s">
        <v>51</v>
      </c>
      <c r="G44" s="7" t="s">
        <v>53</v>
      </c>
      <c r="H44" s="7"/>
      <c r="I44" s="7"/>
      <c r="J44" s="105">
        <f>SUM(J42:J43)</f>
        <v>0</v>
      </c>
    </row>
    <row r="45" spans="1:10" x14ac:dyDescent="0.35">
      <c r="A45" s="106" t="s">
        <v>23</v>
      </c>
      <c r="B45" s="106" t="s">
        <v>24</v>
      </c>
      <c r="C45" s="111">
        <f>'Annual data (rates, Bands, disc'!B36</f>
        <v>65.900000000000006</v>
      </c>
      <c r="D45" s="114"/>
      <c r="G45" s="7"/>
      <c r="H45" s="7"/>
      <c r="I45" s="7"/>
      <c r="J45" s="105"/>
    </row>
    <row r="46" spans="1:10" ht="16" thickBot="1" x14ac:dyDescent="0.4">
      <c r="B46" s="197" t="s">
        <v>128</v>
      </c>
      <c r="C46" s="198"/>
      <c r="D46" s="51">
        <f>SUM(D45)</f>
        <v>0</v>
      </c>
      <c r="J46" s="15"/>
    </row>
    <row r="47" spans="1:10" ht="16" thickTop="1" x14ac:dyDescent="0.35">
      <c r="G47" s="56"/>
      <c r="H47" s="57"/>
      <c r="I47" s="57"/>
      <c r="J47" s="58"/>
    </row>
    <row r="48" spans="1:10" x14ac:dyDescent="0.35">
      <c r="A48" s="6" t="s">
        <v>55</v>
      </c>
      <c r="G48" s="60" t="str">
        <f>'Game Handling Establishments'!G48</f>
        <v>Estimated annual FSA charge</v>
      </c>
      <c r="H48" s="54">
        <f>J44</f>
        <v>0</v>
      </c>
      <c r="I48" s="194" t="s">
        <v>58</v>
      </c>
      <c r="J48" s="195"/>
    </row>
    <row r="49" spans="1:10" x14ac:dyDescent="0.35">
      <c r="A49" s="59" t="s">
        <v>56</v>
      </c>
      <c r="G49" s="60"/>
      <c r="H49" s="15"/>
      <c r="I49" s="194"/>
      <c r="J49" s="195"/>
    </row>
    <row r="50" spans="1:10" x14ac:dyDescent="0.35">
      <c r="A50" t="s">
        <v>59</v>
      </c>
      <c r="G50" s="60"/>
      <c r="I50" s="194"/>
      <c r="J50" s="195"/>
    </row>
    <row r="51" spans="1:10" x14ac:dyDescent="0.35">
      <c r="A51" s="59" t="s">
        <v>60</v>
      </c>
      <c r="D51" s="16"/>
      <c r="G51" s="84" t="str">
        <f>'Game Handling Establishments'!G51</f>
        <v>Estimated monthly FSA charge</v>
      </c>
      <c r="H51" s="54">
        <f>H48/12</f>
        <v>0</v>
      </c>
      <c r="I51" s="194" t="s">
        <v>63</v>
      </c>
      <c r="J51" s="195"/>
    </row>
    <row r="52" spans="1:10" x14ac:dyDescent="0.35">
      <c r="A52" s="59" t="s">
        <v>61</v>
      </c>
      <c r="G52" s="84"/>
      <c r="H52" s="15"/>
      <c r="I52" s="194"/>
      <c r="J52" s="195"/>
    </row>
    <row r="53" spans="1:10" x14ac:dyDescent="0.35">
      <c r="A53" s="59" t="s">
        <v>64</v>
      </c>
      <c r="G53" s="60"/>
      <c r="I53" s="194"/>
      <c r="J53" s="195"/>
    </row>
    <row r="54" spans="1:10" x14ac:dyDescent="0.35">
      <c r="A54" t="s">
        <v>65</v>
      </c>
      <c r="G54" s="84" t="str">
        <f>'Game Handling Establishments'!G54</f>
        <v>Estimated weekly FSA charge</v>
      </c>
      <c r="H54" s="54">
        <f>H48/52</f>
        <v>0</v>
      </c>
      <c r="J54" s="85"/>
    </row>
    <row r="55" spans="1:10" ht="16" thickBot="1" x14ac:dyDescent="0.4">
      <c r="A55" s="59" t="s">
        <v>163</v>
      </c>
      <c r="G55" s="61"/>
      <c r="H55" s="62"/>
      <c r="I55" s="62"/>
      <c r="J55" s="77"/>
    </row>
    <row r="56" spans="1:10" x14ac:dyDescent="0.35">
      <c r="A56" s="59"/>
      <c r="H56" s="15"/>
    </row>
    <row r="58" spans="1:10" ht="15" customHeight="1" x14ac:dyDescent="0.35"/>
    <row r="61" spans="1:10" ht="15" customHeight="1" x14ac:dyDescent="0.35"/>
    <row r="64" spans="1:10" ht="15" customHeight="1" x14ac:dyDescent="0.35"/>
    <row r="65" ht="15" customHeight="1" x14ac:dyDescent="0.35"/>
  </sheetData>
  <sheetProtection algorithmName="SHA-512" hashValue="GiGYBobYmWJolXtUMLmYZVkd7CqqvkhoHBIwlr2f5RQcXA5TmBm3WJnPkVrs6lfR6zsxR+KVr63ekvKfWsSktA==" saltValue="PCGxw2tchZPzYWMlLygkBQ==" spinCount="100000" sheet="1" selectLockedCells="1"/>
  <protectedRanges>
    <protectedRange sqref="D45" name="nonregulated"/>
    <protectedRange password="822E" sqref="D33:D41" name="Allowances"/>
    <protectedRange password="822E" sqref="D21:D23" name="OV hours"/>
    <protectedRange password="822E" sqref="D25:D27" name="MHI hours"/>
  </protectedRanges>
  <mergeCells count="7">
    <mergeCell ref="B29:C29"/>
    <mergeCell ref="I48:J50"/>
    <mergeCell ref="I51:J53"/>
    <mergeCell ref="I3:J3"/>
    <mergeCell ref="B24:C24"/>
    <mergeCell ref="B28:C28"/>
    <mergeCell ref="B46:C46"/>
  </mergeCells>
  <pageMargins left="0.7" right="0.7" top="0.75" bottom="0.75" header="0.3" footer="0.3"/>
  <pageSetup paperSize="9" scale="43" orientation="portrait" r:id="rId1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P29"/>
  <sheetViews>
    <sheetView topLeftCell="B1" zoomScaleNormal="100" workbookViewId="0">
      <selection activeCell="M20" sqref="M20"/>
    </sheetView>
  </sheetViews>
  <sheetFormatPr defaultRowHeight="15.5" x14ac:dyDescent="0.35"/>
  <cols>
    <col min="1" max="1" width="12.3046875" bestFit="1" customWidth="1"/>
    <col min="2" max="2" width="9.69140625" bestFit="1" customWidth="1"/>
    <col min="3" max="3" width="11.53515625" bestFit="1" customWidth="1"/>
    <col min="4" max="4" width="9.84375" bestFit="1" customWidth="1"/>
  </cols>
  <sheetData>
    <row r="1" spans="1:16" x14ac:dyDescent="0.35">
      <c r="A1" s="6"/>
    </row>
    <row r="2" spans="1:16" x14ac:dyDescent="0.35">
      <c r="A2" s="6"/>
    </row>
    <row r="3" spans="1:16" x14ac:dyDescent="0.35">
      <c r="A3" s="3"/>
      <c r="B3" s="3"/>
      <c r="C3" s="3"/>
      <c r="D3" s="29" t="s">
        <v>68</v>
      </c>
      <c r="E3" s="29" t="s">
        <v>69</v>
      </c>
      <c r="F3" s="29" t="s">
        <v>70</v>
      </c>
      <c r="G3" s="29" t="s">
        <v>71</v>
      </c>
      <c r="H3" s="29" t="s">
        <v>72</v>
      </c>
      <c r="I3" s="29" t="s">
        <v>73</v>
      </c>
      <c r="J3" s="29" t="s">
        <v>74</v>
      </c>
      <c r="K3" s="29" t="s">
        <v>75</v>
      </c>
      <c r="L3" s="29" t="s">
        <v>76</v>
      </c>
      <c r="M3" s="29" t="s">
        <v>77</v>
      </c>
      <c r="N3" s="29" t="s">
        <v>78</v>
      </c>
      <c r="O3" s="29" t="s">
        <v>79</v>
      </c>
    </row>
    <row r="4" spans="1:16" x14ac:dyDescent="0.35">
      <c r="A4" s="7" t="s">
        <v>19</v>
      </c>
      <c r="B4" s="7" t="s">
        <v>20</v>
      </c>
      <c r="C4" s="7" t="s">
        <v>80</v>
      </c>
      <c r="D4" s="89">
        <f>'Annual data (rates, Bands, disc'!F12</f>
        <v>4</v>
      </c>
      <c r="E4" s="89">
        <f>'Annual data (rates, Bands, disc'!G12</f>
        <v>4</v>
      </c>
      <c r="F4" s="89">
        <f>'Annual data (rates, Bands, disc'!H12</f>
        <v>5</v>
      </c>
      <c r="G4" s="89">
        <f>'Annual data (rates, Bands, disc'!I12</f>
        <v>4</v>
      </c>
      <c r="H4" s="89">
        <f>'Annual data (rates, Bands, disc'!J12</f>
        <v>5</v>
      </c>
      <c r="I4" s="89">
        <f>'Annual data (rates, Bands, disc'!K12</f>
        <v>4</v>
      </c>
      <c r="J4" s="89">
        <f>'Annual data (rates, Bands, disc'!L12</f>
        <v>4</v>
      </c>
      <c r="K4" s="89">
        <f>'Annual data (rates, Bands, disc'!M12</f>
        <v>5</v>
      </c>
      <c r="L4" s="89">
        <f>'Annual data (rates, Bands, disc'!N12</f>
        <v>4</v>
      </c>
      <c r="M4" s="89">
        <f>'Annual data (rates, Bands, disc'!O12</f>
        <v>4</v>
      </c>
      <c r="N4" s="89">
        <f>'Annual data (rates, Bands, disc'!P12</f>
        <v>4</v>
      </c>
      <c r="O4" s="89">
        <f>'Annual data (rates, Bands, disc'!Q12</f>
        <v>5</v>
      </c>
    </row>
    <row r="5" spans="1:16" x14ac:dyDescent="0.35">
      <c r="A5" s="106" t="s">
        <v>23</v>
      </c>
      <c r="B5" s="106" t="s">
        <v>24</v>
      </c>
      <c r="C5" s="111">
        <f>'Annual data (rates, Bands, disc'!B26</f>
        <v>65.900000000000006</v>
      </c>
      <c r="D5" s="157">
        <f>'Poultry Slaughterhouse'!$D21*'Period PSL data'!D4</f>
        <v>0</v>
      </c>
      <c r="E5" s="157">
        <f>'Poultry Slaughterhouse'!$D21*'Period PSL data'!E4</f>
        <v>0</v>
      </c>
      <c r="F5" s="157">
        <f>'Poultry Slaughterhouse'!$D21*'Period PSL data'!F4</f>
        <v>0</v>
      </c>
      <c r="G5" s="157">
        <f>'Poultry Slaughterhouse'!$D21*'Period PSL data'!G4</f>
        <v>0</v>
      </c>
      <c r="H5" s="157">
        <f>'Poultry Slaughterhouse'!$D21*'Period PSL data'!H4</f>
        <v>0</v>
      </c>
      <c r="I5" s="157">
        <f>'Poultry Slaughterhouse'!$D21*'Period PSL data'!I4</f>
        <v>0</v>
      </c>
      <c r="J5" s="157">
        <f>'Poultry Slaughterhouse'!$D21*'Period PSL data'!J4</f>
        <v>0</v>
      </c>
      <c r="K5" s="157">
        <f>'Poultry Slaughterhouse'!$D21*'Period PSL data'!K4</f>
        <v>0</v>
      </c>
      <c r="L5" s="157">
        <f>'Poultry Slaughterhouse'!$D21*'Period PSL data'!L4</f>
        <v>0</v>
      </c>
      <c r="M5" s="157">
        <f>'Poultry Slaughterhouse'!$D21*'Period PSL data'!M4</f>
        <v>0</v>
      </c>
      <c r="N5" s="157">
        <f>'Poultry Slaughterhouse'!$D21*'Period PSL data'!N4</f>
        <v>0</v>
      </c>
      <c r="O5" s="157">
        <f>'Poultry Slaughterhouse'!$D21*'Period PSL data'!O4</f>
        <v>0</v>
      </c>
      <c r="P5" s="158">
        <f>SUM(D5:O5)</f>
        <v>0</v>
      </c>
    </row>
    <row r="6" spans="1:16" x14ac:dyDescent="0.35">
      <c r="A6" s="106" t="s">
        <v>23</v>
      </c>
      <c r="B6" s="106" t="s">
        <v>25</v>
      </c>
      <c r="C6" s="111">
        <f>'Annual data (rates, Bands, disc'!B27</f>
        <v>98.850000000000009</v>
      </c>
      <c r="D6" s="120">
        <f>'Poultry Slaughterhouse'!$D22*'Period PSL data'!D4</f>
        <v>0</v>
      </c>
      <c r="E6" s="120">
        <f>'Poultry Slaughterhouse'!$D22*'Period PSL data'!E4</f>
        <v>0</v>
      </c>
      <c r="F6" s="120">
        <f>'Poultry Slaughterhouse'!$D22*'Period PSL data'!F4</f>
        <v>0</v>
      </c>
      <c r="G6" s="120">
        <f>'Poultry Slaughterhouse'!$D22*'Period PSL data'!G4</f>
        <v>0</v>
      </c>
      <c r="H6" s="120">
        <f>'Poultry Slaughterhouse'!$D22*'Period PSL data'!H4</f>
        <v>0</v>
      </c>
      <c r="I6" s="120">
        <f>'Poultry Slaughterhouse'!$D22*'Period PSL data'!I4</f>
        <v>0</v>
      </c>
      <c r="J6" s="120">
        <f>'Poultry Slaughterhouse'!$D22*'Period PSL data'!J4</f>
        <v>0</v>
      </c>
      <c r="K6" s="120">
        <f>'Poultry Slaughterhouse'!$D22*'Period PSL data'!K4</f>
        <v>0</v>
      </c>
      <c r="L6" s="120">
        <f>'Poultry Slaughterhouse'!$D22*'Period PSL data'!L4</f>
        <v>0</v>
      </c>
      <c r="M6" s="120">
        <f>'Poultry Slaughterhouse'!$D22*'Period PSL data'!M4</f>
        <v>0</v>
      </c>
      <c r="N6" s="120">
        <f>'Poultry Slaughterhouse'!$D22*'Period PSL data'!N4</f>
        <v>0</v>
      </c>
      <c r="O6" s="120">
        <f>'Poultry Slaughterhouse'!$D22*'Period PSL data'!O4</f>
        <v>0</v>
      </c>
      <c r="P6" s="159">
        <f t="shared" ref="P6:P10" si="0">SUM(D6:O6)</f>
        <v>0</v>
      </c>
    </row>
    <row r="7" spans="1:16" x14ac:dyDescent="0.35">
      <c r="A7" s="106" t="s">
        <v>23</v>
      </c>
      <c r="B7" s="106" t="s">
        <v>26</v>
      </c>
      <c r="C7" s="111">
        <f>'Annual data (rates, Bands, disc'!B28</f>
        <v>131.80000000000001</v>
      </c>
      <c r="D7" s="121">
        <f>'Poultry Slaughterhouse'!$D23*'Period PSL data'!D4</f>
        <v>0</v>
      </c>
      <c r="E7" s="121">
        <f>'Poultry Slaughterhouse'!$D23*'Period PSL data'!E4</f>
        <v>0</v>
      </c>
      <c r="F7" s="121">
        <f>'Poultry Slaughterhouse'!$D23*'Period PSL data'!F4</f>
        <v>0</v>
      </c>
      <c r="G7" s="121">
        <f>'Poultry Slaughterhouse'!$D23*'Period PSL data'!G4</f>
        <v>0</v>
      </c>
      <c r="H7" s="121">
        <f>'Poultry Slaughterhouse'!$D23*'Period PSL data'!H4</f>
        <v>0</v>
      </c>
      <c r="I7" s="121">
        <f>'Poultry Slaughterhouse'!$D23*'Period PSL data'!I4</f>
        <v>0</v>
      </c>
      <c r="J7" s="121">
        <f>'Poultry Slaughterhouse'!$D23*'Period PSL data'!J4</f>
        <v>0</v>
      </c>
      <c r="K7" s="121">
        <f>'Poultry Slaughterhouse'!$D23*'Period PSL data'!K4</f>
        <v>0</v>
      </c>
      <c r="L7" s="121">
        <f>'Poultry Slaughterhouse'!$D23*'Period PSL data'!L4</f>
        <v>0</v>
      </c>
      <c r="M7" s="121">
        <f>'Poultry Slaughterhouse'!$D23*'Period PSL data'!M4</f>
        <v>0</v>
      </c>
      <c r="N7" s="121">
        <f>'Poultry Slaughterhouse'!$D23*'Period PSL data'!N4</f>
        <v>0</v>
      </c>
      <c r="O7" s="121">
        <f>'Poultry Slaughterhouse'!$D23*'Period PSL data'!O4</f>
        <v>0</v>
      </c>
      <c r="P7" s="160">
        <f t="shared" si="0"/>
        <v>0</v>
      </c>
    </row>
    <row r="8" spans="1:16" x14ac:dyDescent="0.35">
      <c r="A8" s="106" t="s">
        <v>81</v>
      </c>
      <c r="B8" s="106" t="s">
        <v>24</v>
      </c>
      <c r="C8" s="111">
        <f>'Annual data (rates, Bands, disc'!B29</f>
        <v>43.2</v>
      </c>
      <c r="D8" s="122">
        <f>'Poultry Slaughterhouse'!$D25*'Period PSL data'!D4</f>
        <v>0</v>
      </c>
      <c r="E8" s="122">
        <f>'Poultry Slaughterhouse'!$D25*'Period PSL data'!E4</f>
        <v>0</v>
      </c>
      <c r="F8" s="122">
        <f>'Poultry Slaughterhouse'!$D25*'Period PSL data'!F4</f>
        <v>0</v>
      </c>
      <c r="G8" s="122">
        <f>'Poultry Slaughterhouse'!$D25*'Period PSL data'!G4</f>
        <v>0</v>
      </c>
      <c r="H8" s="122">
        <f>'Poultry Slaughterhouse'!$D25*'Period PSL data'!H4</f>
        <v>0</v>
      </c>
      <c r="I8" s="122">
        <f>'Poultry Slaughterhouse'!$D25*'Period PSL data'!I4</f>
        <v>0</v>
      </c>
      <c r="J8" s="122">
        <f>'Poultry Slaughterhouse'!$D25*'Period PSL data'!J4</f>
        <v>0</v>
      </c>
      <c r="K8" s="122">
        <f>'Poultry Slaughterhouse'!$D25*'Period PSL data'!K4</f>
        <v>0</v>
      </c>
      <c r="L8" s="122">
        <f>'Poultry Slaughterhouse'!$D25*'Period PSL data'!L4</f>
        <v>0</v>
      </c>
      <c r="M8" s="122">
        <f>'Poultry Slaughterhouse'!$D25*'Period PSL data'!M4</f>
        <v>0</v>
      </c>
      <c r="N8" s="122">
        <f>'Poultry Slaughterhouse'!$D25*'Period PSL data'!N4</f>
        <v>0</v>
      </c>
      <c r="O8" s="122">
        <f>'Poultry Slaughterhouse'!$D25*'Period PSL data'!O4</f>
        <v>0</v>
      </c>
      <c r="P8" s="161">
        <f t="shared" si="0"/>
        <v>0</v>
      </c>
    </row>
    <row r="9" spans="1:16" x14ac:dyDescent="0.35">
      <c r="A9" s="106" t="s">
        <v>81</v>
      </c>
      <c r="B9" s="106" t="s">
        <v>25</v>
      </c>
      <c r="C9" s="111">
        <f>'Annual data (rates, Bands, disc'!B30</f>
        <v>64.800000000000011</v>
      </c>
      <c r="D9" s="123">
        <f>'Poultry Slaughterhouse'!$D26*'Period PSL data'!D4</f>
        <v>0</v>
      </c>
      <c r="E9" s="123">
        <f>'Poultry Slaughterhouse'!$D26*'Period PSL data'!E4</f>
        <v>0</v>
      </c>
      <c r="F9" s="123">
        <f>'Poultry Slaughterhouse'!$D26*'Period PSL data'!F4</f>
        <v>0</v>
      </c>
      <c r="G9" s="123">
        <f>'Poultry Slaughterhouse'!$D26*'Period PSL data'!G4</f>
        <v>0</v>
      </c>
      <c r="H9" s="123">
        <f>'Poultry Slaughterhouse'!$D26*'Period PSL data'!H4</f>
        <v>0</v>
      </c>
      <c r="I9" s="123">
        <f>'Poultry Slaughterhouse'!$D26*'Period PSL data'!I4</f>
        <v>0</v>
      </c>
      <c r="J9" s="123">
        <f>'Poultry Slaughterhouse'!$D26*'Period PSL data'!J4</f>
        <v>0</v>
      </c>
      <c r="K9" s="123">
        <f>'Poultry Slaughterhouse'!$D26*'Period PSL data'!K4</f>
        <v>0</v>
      </c>
      <c r="L9" s="123">
        <f>'Poultry Slaughterhouse'!$D26*'Period PSL data'!L4</f>
        <v>0</v>
      </c>
      <c r="M9" s="123">
        <f>'Poultry Slaughterhouse'!$D26*'Period PSL data'!M4</f>
        <v>0</v>
      </c>
      <c r="N9" s="123">
        <f>'Poultry Slaughterhouse'!$D26*'Period PSL data'!N4</f>
        <v>0</v>
      </c>
      <c r="O9" s="123">
        <f>'Poultry Slaughterhouse'!$D26*'Period PSL data'!O4</f>
        <v>0</v>
      </c>
      <c r="P9" s="162">
        <f t="shared" si="0"/>
        <v>0</v>
      </c>
    </row>
    <row r="10" spans="1:16" x14ac:dyDescent="0.35">
      <c r="A10" s="106" t="s">
        <v>81</v>
      </c>
      <c r="B10" s="106" t="s">
        <v>26</v>
      </c>
      <c r="C10" s="111">
        <f>'Annual data (rates, Bands, disc'!B31</f>
        <v>86.4</v>
      </c>
      <c r="D10" s="124">
        <f>'Poultry Slaughterhouse'!$D27*'Period PSL data'!D4</f>
        <v>0</v>
      </c>
      <c r="E10" s="124">
        <f>'Poultry Slaughterhouse'!$D27*'Period PSL data'!E4</f>
        <v>0</v>
      </c>
      <c r="F10" s="124">
        <f>'Poultry Slaughterhouse'!$D27*'Period PSL data'!F4</f>
        <v>0</v>
      </c>
      <c r="G10" s="124">
        <f>'Poultry Slaughterhouse'!$D27*'Period PSL data'!G4</f>
        <v>0</v>
      </c>
      <c r="H10" s="124">
        <f>'Poultry Slaughterhouse'!$D27*'Period PSL data'!H4</f>
        <v>0</v>
      </c>
      <c r="I10" s="124">
        <f>'Poultry Slaughterhouse'!$D27*'Period PSL data'!I4</f>
        <v>0</v>
      </c>
      <c r="J10" s="124">
        <f>'Poultry Slaughterhouse'!$D27*'Period PSL data'!J4</f>
        <v>0</v>
      </c>
      <c r="K10" s="124">
        <f>'Poultry Slaughterhouse'!$D27*'Period PSL data'!K4</f>
        <v>0</v>
      </c>
      <c r="L10" s="124">
        <f>'Poultry Slaughterhouse'!$D27*'Period PSL data'!L4</f>
        <v>0</v>
      </c>
      <c r="M10" s="124">
        <f>'Poultry Slaughterhouse'!$D27*'Period PSL data'!M4</f>
        <v>0</v>
      </c>
      <c r="N10" s="124">
        <f>'Poultry Slaughterhouse'!$D27*'Period PSL data'!N4</f>
        <v>0</v>
      </c>
      <c r="O10" s="124">
        <f>'Poultry Slaughterhouse'!$D27*'Period PSL data'!O4</f>
        <v>0</v>
      </c>
      <c r="P10" s="163">
        <f t="shared" si="0"/>
        <v>0</v>
      </c>
    </row>
    <row r="11" spans="1:16" ht="16" thickBot="1" x14ac:dyDescent="0.4">
      <c r="A11" s="106"/>
      <c r="B11" s="197" t="s">
        <v>28</v>
      </c>
      <c r="C11" s="197"/>
      <c r="D11" s="127">
        <f t="shared" ref="D11:O11" si="1">SUM(D5:D7)</f>
        <v>0</v>
      </c>
      <c r="E11" s="127">
        <f t="shared" si="1"/>
        <v>0</v>
      </c>
      <c r="F11" s="127">
        <f t="shared" si="1"/>
        <v>0</v>
      </c>
      <c r="G11" s="127">
        <f t="shared" si="1"/>
        <v>0</v>
      </c>
      <c r="H11" s="127">
        <f t="shared" si="1"/>
        <v>0</v>
      </c>
      <c r="I11" s="127">
        <f t="shared" si="1"/>
        <v>0</v>
      </c>
      <c r="J11" s="127">
        <f t="shared" si="1"/>
        <v>0</v>
      </c>
      <c r="K11" s="127">
        <f t="shared" si="1"/>
        <v>0</v>
      </c>
      <c r="L11" s="127">
        <f t="shared" si="1"/>
        <v>0</v>
      </c>
      <c r="M11" s="127">
        <f t="shared" si="1"/>
        <v>0</v>
      </c>
      <c r="N11" s="127">
        <f t="shared" si="1"/>
        <v>0</v>
      </c>
      <c r="O11" s="164">
        <f t="shared" si="1"/>
        <v>0</v>
      </c>
      <c r="P11" s="165">
        <f>SUM(D11:O11)</f>
        <v>0</v>
      </c>
    </row>
    <row r="12" spans="1:16" ht="16.5" thickTop="1" thickBot="1" x14ac:dyDescent="0.4">
      <c r="A12" s="106"/>
      <c r="B12" s="197" t="s">
        <v>30</v>
      </c>
      <c r="C12" s="198"/>
      <c r="D12" s="116">
        <f t="shared" ref="D12:O12" si="2">SUM(D8:D10)</f>
        <v>0</v>
      </c>
      <c r="E12" s="116">
        <f t="shared" si="2"/>
        <v>0</v>
      </c>
      <c r="F12" s="116">
        <f t="shared" si="2"/>
        <v>0</v>
      </c>
      <c r="G12" s="116">
        <f t="shared" si="2"/>
        <v>0</v>
      </c>
      <c r="H12" s="116">
        <f t="shared" si="2"/>
        <v>0</v>
      </c>
      <c r="I12" s="116">
        <f t="shared" si="2"/>
        <v>0</v>
      </c>
      <c r="J12" s="116">
        <f t="shared" si="2"/>
        <v>0</v>
      </c>
      <c r="K12" s="116">
        <f t="shared" si="2"/>
        <v>0</v>
      </c>
      <c r="L12" s="116">
        <f t="shared" si="2"/>
        <v>0</v>
      </c>
      <c r="M12" s="116">
        <f t="shared" si="2"/>
        <v>0</v>
      </c>
      <c r="N12" s="116">
        <f t="shared" si="2"/>
        <v>0</v>
      </c>
      <c r="O12" s="116">
        <f t="shared" si="2"/>
        <v>0</v>
      </c>
      <c r="P12" s="165">
        <f t="shared" ref="P12:P13" si="3">SUM(D12:O12)</f>
        <v>0</v>
      </c>
    </row>
    <row r="13" spans="1:16" s="41" customFormat="1" ht="14" thickTop="1" thickBot="1" x14ac:dyDescent="0.35">
      <c r="A13" s="106"/>
      <c r="B13" s="197" t="s">
        <v>31</v>
      </c>
      <c r="C13" s="198"/>
      <c r="D13" s="166">
        <f>D11+D12</f>
        <v>0</v>
      </c>
      <c r="E13" s="166">
        <f t="shared" ref="E13:O13" si="4">E11+E12</f>
        <v>0</v>
      </c>
      <c r="F13" s="166">
        <f t="shared" si="4"/>
        <v>0</v>
      </c>
      <c r="G13" s="166">
        <f t="shared" si="4"/>
        <v>0</v>
      </c>
      <c r="H13" s="166">
        <f t="shared" si="4"/>
        <v>0</v>
      </c>
      <c r="I13" s="166">
        <f t="shared" si="4"/>
        <v>0</v>
      </c>
      <c r="J13" s="166">
        <f t="shared" si="4"/>
        <v>0</v>
      </c>
      <c r="K13" s="166">
        <f t="shared" si="4"/>
        <v>0</v>
      </c>
      <c r="L13" s="166">
        <f t="shared" si="4"/>
        <v>0</v>
      </c>
      <c r="M13" s="166">
        <f t="shared" si="4"/>
        <v>0</v>
      </c>
      <c r="N13" s="166">
        <f t="shared" si="4"/>
        <v>0</v>
      </c>
      <c r="O13" s="166">
        <f t="shared" si="4"/>
        <v>0</v>
      </c>
      <c r="P13" s="165">
        <f t="shared" si="3"/>
        <v>0</v>
      </c>
    </row>
    <row r="16" spans="1:16" x14ac:dyDescent="0.35">
      <c r="A16" s="6"/>
    </row>
    <row r="17" spans="2:15" x14ac:dyDescent="0.35">
      <c r="C17" t="s">
        <v>34</v>
      </c>
      <c r="D17" t="s">
        <v>68</v>
      </c>
      <c r="E17" t="s">
        <v>69</v>
      </c>
      <c r="F17" t="s">
        <v>70</v>
      </c>
      <c r="G17" t="s">
        <v>71</v>
      </c>
      <c r="H17" t="s">
        <v>72</v>
      </c>
      <c r="I17" t="s">
        <v>73</v>
      </c>
      <c r="J17" t="s">
        <v>74</v>
      </c>
      <c r="K17" t="s">
        <v>75</v>
      </c>
      <c r="L17" t="s">
        <v>76</v>
      </c>
      <c r="M17" t="s">
        <v>77</v>
      </c>
      <c r="N17" t="s">
        <v>78</v>
      </c>
      <c r="O17" t="s">
        <v>79</v>
      </c>
    </row>
    <row r="18" spans="2:15" x14ac:dyDescent="0.35">
      <c r="B18" s="106" t="s">
        <v>36</v>
      </c>
      <c r="C18" s="111">
        <f>'Annual data (rates, Bands, disc'!C12</f>
        <v>38.35</v>
      </c>
      <c r="D18" s="32">
        <f>'Poultry Slaughterhouse'!$D33*'Period PSL data'!D$4</f>
        <v>0</v>
      </c>
      <c r="E18" s="32">
        <f>'Poultry Slaughterhouse'!$D33*'Period PSL data'!E$4</f>
        <v>0</v>
      </c>
      <c r="F18" s="32">
        <f>'Poultry Slaughterhouse'!$D33*'Period PSL data'!F$4</f>
        <v>0</v>
      </c>
      <c r="G18" s="32">
        <f>'Poultry Slaughterhouse'!$D33*'Period PSL data'!G$4</f>
        <v>0</v>
      </c>
      <c r="H18" s="32">
        <f>'Poultry Slaughterhouse'!$D33*'Period PSL data'!H$4</f>
        <v>0</v>
      </c>
      <c r="I18" s="32">
        <f>'Poultry Slaughterhouse'!$D33*'Period PSL data'!I$4</f>
        <v>0</v>
      </c>
      <c r="J18" s="32">
        <f>'Poultry Slaughterhouse'!$D33*'Period PSL data'!J$4</f>
        <v>0</v>
      </c>
      <c r="K18" s="32">
        <f>'Poultry Slaughterhouse'!$D33*'Period PSL data'!K$4</f>
        <v>0</v>
      </c>
      <c r="L18" s="32">
        <f>'Poultry Slaughterhouse'!$D33*'Period PSL data'!L$4</f>
        <v>0</v>
      </c>
      <c r="M18" s="32">
        <f>'Poultry Slaughterhouse'!$D33*'Period PSL data'!M$4</f>
        <v>0</v>
      </c>
      <c r="N18" s="32">
        <f>'Poultry Slaughterhouse'!$D33*'Period PSL data'!N$4</f>
        <v>0</v>
      </c>
      <c r="O18" s="32">
        <f>'Poultry Slaughterhouse'!$D33*'Period PSL data'!O$4</f>
        <v>0</v>
      </c>
    </row>
    <row r="19" spans="2:15" x14ac:dyDescent="0.35">
      <c r="B19" s="106" t="s">
        <v>38</v>
      </c>
      <c r="C19" s="111">
        <f>'Annual data (rates, Bands, disc'!C13</f>
        <v>130.9</v>
      </c>
      <c r="D19" s="32">
        <f>'Poultry Slaughterhouse'!$D34*'Period PSL data'!D$4</f>
        <v>0</v>
      </c>
      <c r="E19" s="32">
        <f>'Poultry Slaughterhouse'!$D34*'Period PSL data'!E$4</f>
        <v>0</v>
      </c>
      <c r="F19" s="32">
        <f>'Poultry Slaughterhouse'!$D34*'Period PSL data'!F$4</f>
        <v>0</v>
      </c>
      <c r="G19" s="32">
        <f>'Poultry Slaughterhouse'!$D34*'Period PSL data'!G$4</f>
        <v>0</v>
      </c>
      <c r="H19" s="32">
        <f>'Poultry Slaughterhouse'!$D34*'Period PSL data'!H$4</f>
        <v>0</v>
      </c>
      <c r="I19" s="32">
        <f>'Poultry Slaughterhouse'!$D34*'Period PSL data'!I$4</f>
        <v>0</v>
      </c>
      <c r="J19" s="32">
        <f>'Poultry Slaughterhouse'!$D34*'Period PSL data'!J$4</f>
        <v>0</v>
      </c>
      <c r="K19" s="32">
        <f>'Poultry Slaughterhouse'!$D34*'Period PSL data'!K$4</f>
        <v>0</v>
      </c>
      <c r="L19" s="32">
        <f>'Poultry Slaughterhouse'!$D34*'Period PSL data'!L$4</f>
        <v>0</v>
      </c>
      <c r="M19" s="32">
        <f>'Poultry Slaughterhouse'!$D34*'Period PSL data'!M$4</f>
        <v>0</v>
      </c>
      <c r="N19" s="32">
        <f>'Poultry Slaughterhouse'!$D34*'Period PSL data'!N$4</f>
        <v>0</v>
      </c>
      <c r="O19" s="32">
        <f>'Poultry Slaughterhouse'!$D34*'Period PSL data'!O$4</f>
        <v>0</v>
      </c>
    </row>
    <row r="20" spans="2:15" x14ac:dyDescent="0.35">
      <c r="B20" s="106" t="s">
        <v>39</v>
      </c>
      <c r="C20" s="111">
        <f>'Annual data (rates, Bands, disc'!C14</f>
        <v>130.9</v>
      </c>
      <c r="D20" s="32">
        <f>'Poultry Slaughterhouse'!$D35*'Period PSL data'!D$4</f>
        <v>0</v>
      </c>
      <c r="E20" s="32">
        <f>'Poultry Slaughterhouse'!$D35*'Period PSL data'!E$4</f>
        <v>0</v>
      </c>
      <c r="F20" s="32">
        <f>'Poultry Slaughterhouse'!$D35*'Period PSL data'!F$4</f>
        <v>0</v>
      </c>
      <c r="G20" s="32">
        <f>'Poultry Slaughterhouse'!$D35*'Period PSL data'!G$4</f>
        <v>0</v>
      </c>
      <c r="H20" s="32">
        <f>'Poultry Slaughterhouse'!$D35*'Period PSL data'!H$4</f>
        <v>0</v>
      </c>
      <c r="I20" s="32">
        <f>'Poultry Slaughterhouse'!$D35*'Period PSL data'!I$4</f>
        <v>0</v>
      </c>
      <c r="J20" s="32">
        <f>'Poultry Slaughterhouse'!$D35*'Period PSL data'!J$4</f>
        <v>0</v>
      </c>
      <c r="K20" s="32">
        <f>'Poultry Slaughterhouse'!$D35*'Period PSL data'!K$4</f>
        <v>0</v>
      </c>
      <c r="L20" s="32">
        <f>'Poultry Slaughterhouse'!$D35*'Period PSL data'!L$4</f>
        <v>0</v>
      </c>
      <c r="M20" s="32">
        <f>'Poultry Slaughterhouse'!$D35*'Period PSL data'!M$4</f>
        <v>0</v>
      </c>
      <c r="N20" s="32">
        <f>'Poultry Slaughterhouse'!$D35*'Period PSL data'!N$4</f>
        <v>0</v>
      </c>
      <c r="O20" s="32">
        <f>'Poultry Slaughterhouse'!$D35*'Period PSL data'!O$4</f>
        <v>0</v>
      </c>
    </row>
    <row r="21" spans="2:15" x14ac:dyDescent="0.35">
      <c r="B21" s="106" t="s">
        <v>42</v>
      </c>
      <c r="C21" s="111">
        <f>'Annual data (rates, Bands, disc'!C15</f>
        <v>62.05</v>
      </c>
      <c r="D21" s="32">
        <f>'Poultry Slaughterhouse'!$D36*'Period PSL data'!D$4</f>
        <v>0</v>
      </c>
      <c r="E21" s="32">
        <f>'Poultry Slaughterhouse'!$D36*'Period PSL data'!E$4</f>
        <v>0</v>
      </c>
      <c r="F21" s="32">
        <f>'Poultry Slaughterhouse'!$D36*'Period PSL data'!F$4</f>
        <v>0</v>
      </c>
      <c r="G21" s="32">
        <f>'Poultry Slaughterhouse'!$D36*'Period PSL data'!G$4</f>
        <v>0</v>
      </c>
      <c r="H21" s="32">
        <f>'Poultry Slaughterhouse'!$D36*'Period PSL data'!H$4</f>
        <v>0</v>
      </c>
      <c r="I21" s="32">
        <f>'Poultry Slaughterhouse'!$D36*'Period PSL data'!I$4</f>
        <v>0</v>
      </c>
      <c r="J21" s="32">
        <f>'Poultry Slaughterhouse'!$D36*'Period PSL data'!J$4</f>
        <v>0</v>
      </c>
      <c r="K21" s="32">
        <f>'Poultry Slaughterhouse'!$D36*'Period PSL data'!K$4</f>
        <v>0</v>
      </c>
      <c r="L21" s="32">
        <f>'Poultry Slaughterhouse'!$D36*'Period PSL data'!L$4</f>
        <v>0</v>
      </c>
      <c r="M21" s="32">
        <f>'Poultry Slaughterhouse'!$D36*'Period PSL data'!M$4</f>
        <v>0</v>
      </c>
      <c r="N21" s="32">
        <f>'Poultry Slaughterhouse'!$D36*'Period PSL data'!N$4</f>
        <v>0</v>
      </c>
      <c r="O21" s="32">
        <f>'Poultry Slaughterhouse'!$D36*'Period PSL data'!O$4</f>
        <v>0</v>
      </c>
    </row>
    <row r="22" spans="2:15" x14ac:dyDescent="0.35">
      <c r="B22" s="106" t="s">
        <v>44</v>
      </c>
      <c r="C22" s="111">
        <f>'Annual data (rates, Bands, disc'!C16</f>
        <v>39.700000000000003</v>
      </c>
      <c r="D22" s="32">
        <f>'Poultry Slaughterhouse'!$D37*'Period PSL data'!D$4</f>
        <v>0</v>
      </c>
      <c r="E22" s="32">
        <f>'Poultry Slaughterhouse'!$D37*'Period PSL data'!E$4</f>
        <v>0</v>
      </c>
      <c r="F22" s="32">
        <f>'Poultry Slaughterhouse'!$D37*'Period PSL data'!F$4</f>
        <v>0</v>
      </c>
      <c r="G22" s="32">
        <f>'Poultry Slaughterhouse'!$D37*'Period PSL data'!G$4</f>
        <v>0</v>
      </c>
      <c r="H22" s="32">
        <f>'Poultry Slaughterhouse'!$D37*'Period PSL data'!H$4</f>
        <v>0</v>
      </c>
      <c r="I22" s="32">
        <f>'Poultry Slaughterhouse'!$D37*'Period PSL data'!I$4</f>
        <v>0</v>
      </c>
      <c r="J22" s="32">
        <f>'Poultry Slaughterhouse'!$D37*'Period PSL data'!J$4</f>
        <v>0</v>
      </c>
      <c r="K22" s="32">
        <f>'Poultry Slaughterhouse'!$D37*'Period PSL data'!K$4</f>
        <v>0</v>
      </c>
      <c r="L22" s="32">
        <f>'Poultry Slaughterhouse'!$D37*'Period PSL data'!L$4</f>
        <v>0</v>
      </c>
      <c r="M22" s="32">
        <f>'Poultry Slaughterhouse'!$D37*'Period PSL data'!M$4</f>
        <v>0</v>
      </c>
      <c r="N22" s="32">
        <f>'Poultry Slaughterhouse'!$D37*'Period PSL data'!N$4</f>
        <v>0</v>
      </c>
      <c r="O22" s="32">
        <f>'Poultry Slaughterhouse'!$D37*'Period PSL data'!O$4</f>
        <v>0</v>
      </c>
    </row>
    <row r="23" spans="2:15" x14ac:dyDescent="0.35">
      <c r="B23" s="106" t="s">
        <v>46</v>
      </c>
      <c r="C23" s="111">
        <f>'Annual data (rates, Bands, disc'!C17</f>
        <v>21.25</v>
      </c>
      <c r="D23" s="32">
        <f>'Poultry Slaughterhouse'!$D38*'Period PSL data'!D$4</f>
        <v>0</v>
      </c>
      <c r="E23" s="32">
        <f>'Poultry Slaughterhouse'!$D38*'Period PSL data'!E$4</f>
        <v>0</v>
      </c>
      <c r="F23" s="32">
        <f>'Poultry Slaughterhouse'!$D38*'Period PSL data'!F$4</f>
        <v>0</v>
      </c>
      <c r="G23" s="32">
        <f>'Poultry Slaughterhouse'!$D38*'Period PSL data'!G$4</f>
        <v>0</v>
      </c>
      <c r="H23" s="32">
        <f>'Poultry Slaughterhouse'!$D38*'Period PSL data'!H$4</f>
        <v>0</v>
      </c>
      <c r="I23" s="32">
        <f>'Poultry Slaughterhouse'!$D38*'Period PSL data'!I$4</f>
        <v>0</v>
      </c>
      <c r="J23" s="32">
        <f>'Poultry Slaughterhouse'!$D38*'Period PSL data'!J$4</f>
        <v>0</v>
      </c>
      <c r="K23" s="32">
        <f>'Poultry Slaughterhouse'!$D38*'Period PSL data'!K$4</f>
        <v>0</v>
      </c>
      <c r="L23" s="32">
        <f>'Poultry Slaughterhouse'!$D38*'Period PSL data'!L$4</f>
        <v>0</v>
      </c>
      <c r="M23" s="32">
        <f>'Poultry Slaughterhouse'!$D38*'Period PSL data'!M$4</f>
        <v>0</v>
      </c>
      <c r="N23" s="32">
        <f>'Poultry Slaughterhouse'!$D38*'Period PSL data'!N$4</f>
        <v>0</v>
      </c>
      <c r="O23" s="32">
        <f>'Poultry Slaughterhouse'!$D38*'Period PSL data'!O$4</f>
        <v>0</v>
      </c>
    </row>
    <row r="24" spans="2:15" x14ac:dyDescent="0.35">
      <c r="B24" s="106" t="s">
        <v>47</v>
      </c>
      <c r="C24" s="111">
        <f>'Annual data (rates, Bands, disc'!C18</f>
        <v>39.700000000000003</v>
      </c>
      <c r="D24" s="32">
        <f>'Poultry Slaughterhouse'!$D39*'Period PSL data'!D$4</f>
        <v>0</v>
      </c>
      <c r="E24" s="32">
        <f>'Poultry Slaughterhouse'!$D39*'Period PSL data'!E$4</f>
        <v>0</v>
      </c>
      <c r="F24" s="32">
        <f>'Poultry Slaughterhouse'!$D39*'Period PSL data'!F$4</f>
        <v>0</v>
      </c>
      <c r="G24" s="32">
        <f>'Poultry Slaughterhouse'!$D39*'Period PSL data'!G$4</f>
        <v>0</v>
      </c>
      <c r="H24" s="32">
        <f>'Poultry Slaughterhouse'!$D39*'Period PSL data'!H$4</f>
        <v>0</v>
      </c>
      <c r="I24" s="32">
        <f>'Poultry Slaughterhouse'!$D39*'Period PSL data'!I$4</f>
        <v>0</v>
      </c>
      <c r="J24" s="32">
        <f>'Poultry Slaughterhouse'!$D39*'Period PSL data'!J$4</f>
        <v>0</v>
      </c>
      <c r="K24" s="32">
        <f>'Poultry Slaughterhouse'!$D39*'Period PSL data'!K$4</f>
        <v>0</v>
      </c>
      <c r="L24" s="32">
        <f>'Poultry Slaughterhouse'!$D39*'Period PSL data'!L$4</f>
        <v>0</v>
      </c>
      <c r="M24" s="32">
        <f>'Poultry Slaughterhouse'!$D39*'Period PSL data'!M$4</f>
        <v>0</v>
      </c>
      <c r="N24" s="32">
        <f>'Poultry Slaughterhouse'!$D39*'Period PSL data'!N$4</f>
        <v>0</v>
      </c>
      <c r="O24" s="32">
        <f>'Poultry Slaughterhouse'!$D39*'Period PSL data'!O$4</f>
        <v>0</v>
      </c>
    </row>
    <row r="25" spans="2:15" x14ac:dyDescent="0.35">
      <c r="B25" s="106" t="s">
        <v>48</v>
      </c>
      <c r="C25" s="111">
        <f>'Annual data (rates, Bands, disc'!C19</f>
        <v>21.25</v>
      </c>
      <c r="D25" s="32">
        <f>'Poultry Slaughterhouse'!$D40*'Period PSL data'!D$4</f>
        <v>0</v>
      </c>
      <c r="E25" s="32">
        <f>'Poultry Slaughterhouse'!$D40*'Period PSL data'!E$4</f>
        <v>0</v>
      </c>
      <c r="F25" s="32">
        <f>'Poultry Slaughterhouse'!$D40*'Period PSL data'!F$4</f>
        <v>0</v>
      </c>
      <c r="G25" s="32">
        <f>'Poultry Slaughterhouse'!$D40*'Period PSL data'!G$4</f>
        <v>0</v>
      </c>
      <c r="H25" s="32">
        <f>'Poultry Slaughterhouse'!$D40*'Period PSL data'!H$4</f>
        <v>0</v>
      </c>
      <c r="I25" s="32">
        <f>'Poultry Slaughterhouse'!$D40*'Period PSL data'!I$4</f>
        <v>0</v>
      </c>
      <c r="J25" s="32">
        <f>'Poultry Slaughterhouse'!$D40*'Period PSL data'!J$4</f>
        <v>0</v>
      </c>
      <c r="K25" s="32">
        <f>'Poultry Slaughterhouse'!$D40*'Period PSL data'!K$4</f>
        <v>0</v>
      </c>
      <c r="L25" s="32">
        <f>'Poultry Slaughterhouse'!$D40*'Period PSL data'!L$4</f>
        <v>0</v>
      </c>
      <c r="M25" s="32">
        <f>'Poultry Slaughterhouse'!$D40*'Period PSL data'!M$4</f>
        <v>0</v>
      </c>
      <c r="N25" s="32">
        <f>'Poultry Slaughterhouse'!$D40*'Period PSL data'!N$4</f>
        <v>0</v>
      </c>
      <c r="O25" s="32">
        <f>'Poultry Slaughterhouse'!$D40*'Period PSL data'!O$4</f>
        <v>0</v>
      </c>
    </row>
    <row r="26" spans="2:15" x14ac:dyDescent="0.35">
      <c r="B26" s="106" t="s">
        <v>158</v>
      </c>
      <c r="C26" s="111">
        <f>'Annual data (rates, Bands, disc'!C20</f>
        <v>21.25</v>
      </c>
      <c r="D26" s="32">
        <f>'Poultry Slaughterhouse'!$D41*'Period PSL data'!D$4</f>
        <v>0</v>
      </c>
      <c r="E26" s="32">
        <f>'Poultry Slaughterhouse'!$D41*'Period PSL data'!E$4</f>
        <v>0</v>
      </c>
      <c r="F26" s="32">
        <f>'Poultry Slaughterhouse'!$D41*'Period PSL data'!F$4</f>
        <v>0</v>
      </c>
      <c r="G26" s="32">
        <f>'Poultry Slaughterhouse'!$D41*'Period PSL data'!G$4</f>
        <v>0</v>
      </c>
      <c r="H26" s="32">
        <f>'Poultry Slaughterhouse'!$D41*'Period PSL data'!H$4</f>
        <v>0</v>
      </c>
      <c r="I26" s="32">
        <f>'Poultry Slaughterhouse'!$D41*'Period PSL data'!I$4</f>
        <v>0</v>
      </c>
      <c r="J26" s="32">
        <f>'Poultry Slaughterhouse'!$D41*'Period PSL data'!J$4</f>
        <v>0</v>
      </c>
      <c r="K26" s="32">
        <f>'Poultry Slaughterhouse'!$D41*'Period PSL data'!K$4</f>
        <v>0</v>
      </c>
      <c r="L26" s="32">
        <f>'Poultry Slaughterhouse'!$D41*'Period PSL data'!L$4</f>
        <v>0</v>
      </c>
      <c r="M26" s="32">
        <f>'Poultry Slaughterhouse'!$D41*'Period PSL data'!M$4</f>
        <v>0</v>
      </c>
      <c r="N26" s="32">
        <f>'Poultry Slaughterhouse'!$D41*'Period PSL data'!N$4</f>
        <v>0</v>
      </c>
      <c r="O26" s="32">
        <f>'Poultry Slaughterhouse'!$D41*'Period PSL data'!O$4</f>
        <v>0</v>
      </c>
    </row>
    <row r="27" spans="2:15" x14ac:dyDescent="0.35">
      <c r="C27" s="106" t="s">
        <v>82</v>
      </c>
      <c r="D27" s="111">
        <f>(D18*$C18)+(D19*$C19)+(D20*$C20)+(D21*$C21)+(D22*$C22)+(D23*$C23)+(D24*$C24)+(D25*$C25)+(D26*$C26)</f>
        <v>0</v>
      </c>
      <c r="E27" s="111">
        <f>(E18*$C18)+(E19*$C19)+(E20*$C20)+(E21*$C21)+(E22*$C22)+(E23*$C23)+(E24*$C24)+(E25*$C25)+(E26*$C26)</f>
        <v>0</v>
      </c>
      <c r="F27" s="111">
        <f t="shared" ref="F27:O27" si="5">(F18*$C18)+(F19*$C19)+(F20*$C20)+(F21*$C21)+(F22*$C22)+(F23*$C23)+(F24*$C24)+(F25*$C25)+(F26*$C26)</f>
        <v>0</v>
      </c>
      <c r="G27" s="111">
        <f t="shared" si="5"/>
        <v>0</v>
      </c>
      <c r="H27" s="111">
        <f t="shared" si="5"/>
        <v>0</v>
      </c>
      <c r="I27" s="111">
        <f t="shared" si="5"/>
        <v>0</v>
      </c>
      <c r="J27" s="111">
        <f t="shared" si="5"/>
        <v>0</v>
      </c>
      <c r="K27" s="111">
        <f t="shared" si="5"/>
        <v>0</v>
      </c>
      <c r="L27" s="111">
        <f t="shared" si="5"/>
        <v>0</v>
      </c>
      <c r="M27" s="111">
        <f t="shared" si="5"/>
        <v>0</v>
      </c>
      <c r="N27" s="111">
        <f t="shared" si="5"/>
        <v>0</v>
      </c>
      <c r="O27" s="111">
        <f t="shared" si="5"/>
        <v>0</v>
      </c>
    </row>
    <row r="28" spans="2:15" x14ac:dyDescent="0.35">
      <c r="C28" s="106" t="s">
        <v>83</v>
      </c>
      <c r="D28" s="111">
        <f>D27*0.5</f>
        <v>0</v>
      </c>
      <c r="E28" s="111">
        <f t="shared" ref="E28:O28" si="6">E27*0.5</f>
        <v>0</v>
      </c>
      <c r="F28" s="111">
        <f t="shared" si="6"/>
        <v>0</v>
      </c>
      <c r="G28" s="111">
        <f t="shared" si="6"/>
        <v>0</v>
      </c>
      <c r="H28" s="111">
        <f t="shared" si="6"/>
        <v>0</v>
      </c>
      <c r="I28" s="111">
        <f t="shared" si="6"/>
        <v>0</v>
      </c>
      <c r="J28" s="111">
        <f t="shared" si="6"/>
        <v>0</v>
      </c>
      <c r="K28" s="111">
        <f t="shared" si="6"/>
        <v>0</v>
      </c>
      <c r="L28" s="111">
        <f t="shared" si="6"/>
        <v>0</v>
      </c>
      <c r="M28" s="111">
        <f t="shared" si="6"/>
        <v>0</v>
      </c>
      <c r="N28" s="111">
        <f t="shared" si="6"/>
        <v>0</v>
      </c>
      <c r="O28" s="111">
        <f t="shared" si="6"/>
        <v>0</v>
      </c>
    </row>
    <row r="29" spans="2:15" x14ac:dyDescent="0.35">
      <c r="C29" s="106" t="s">
        <v>84</v>
      </c>
      <c r="D29" s="111">
        <f>D27-D28</f>
        <v>0</v>
      </c>
      <c r="E29" s="111">
        <f>E27-E28</f>
        <v>0</v>
      </c>
      <c r="F29" s="111">
        <f t="shared" ref="F29:O29" si="7">F27-F28</f>
        <v>0</v>
      </c>
      <c r="G29" s="111">
        <f t="shared" si="7"/>
        <v>0</v>
      </c>
      <c r="H29" s="111">
        <f t="shared" si="7"/>
        <v>0</v>
      </c>
      <c r="I29" s="111">
        <f t="shared" si="7"/>
        <v>0</v>
      </c>
      <c r="J29" s="111">
        <f t="shared" si="7"/>
        <v>0</v>
      </c>
      <c r="K29" s="111">
        <f t="shared" si="7"/>
        <v>0</v>
      </c>
      <c r="L29" s="111">
        <f t="shared" si="7"/>
        <v>0</v>
      </c>
      <c r="M29" s="111">
        <f t="shared" si="7"/>
        <v>0</v>
      </c>
      <c r="N29" s="111">
        <f t="shared" si="7"/>
        <v>0</v>
      </c>
      <c r="O29" s="111">
        <f t="shared" si="7"/>
        <v>0</v>
      </c>
    </row>
  </sheetData>
  <sheetProtection algorithmName="SHA-512" hashValue="eEStaFoSDvlHL1xkGaksMeJx+cllFOUqRV7LwJCcyAZhYeqNY2nHgozdoJCN64bFzXY4PoRbQY9H1n1k4z586A==" saltValue="ggs6IbAyGvUyFXlCkfivzQ==" spinCount="100000" sheet="1" objects="1" scenarios="1"/>
  <mergeCells count="3">
    <mergeCell ref="B11:C11"/>
    <mergeCell ref="B12:C12"/>
    <mergeCell ref="B13:C13"/>
  </mergeCells>
  <pageMargins left="0.7" right="0.7" top="0.75" bottom="0.75" header="0.3" footer="0.3"/>
  <pageSetup paperSize="9" orientation="landscape" r:id="rId1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D57"/>
  <sheetViews>
    <sheetView topLeftCell="H1" zoomScaleNormal="100" workbookViewId="0">
      <selection activeCell="H18" sqref="H18"/>
    </sheetView>
  </sheetViews>
  <sheetFormatPr defaultRowHeight="15.5" x14ac:dyDescent="0.35"/>
  <cols>
    <col min="1" max="1" width="4.07421875" customWidth="1"/>
    <col min="2" max="2" width="6.84375" bestFit="1" customWidth="1"/>
    <col min="3" max="4" width="6.53515625" customWidth="1"/>
    <col min="5" max="5" width="11.53515625" style="15" customWidth="1"/>
    <col min="6" max="6" width="8" style="20" bestFit="1" customWidth="1"/>
    <col min="7" max="7" width="6.53515625" bestFit="1" customWidth="1"/>
    <col min="8" max="8" width="7.07421875" style="20" bestFit="1" customWidth="1"/>
    <col min="9" max="9" width="6.3046875" bestFit="1" customWidth="1"/>
    <col min="10" max="10" width="7.69140625" style="20" bestFit="1" customWidth="1"/>
    <col min="11" max="11" width="6.69140625" bestFit="1" customWidth="1"/>
    <col min="12" max="12" width="7.53515625" style="20" bestFit="1" customWidth="1"/>
    <col min="13" max="13" width="6.53515625" bestFit="1" customWidth="1"/>
    <col min="14" max="14" width="7.53515625" style="20" bestFit="1" customWidth="1"/>
    <col min="15" max="15" width="6.07421875" bestFit="1" customWidth="1"/>
    <col min="16" max="16" width="7.53515625" style="20" bestFit="1" customWidth="1"/>
    <col min="17" max="17" width="6.69140625" bestFit="1" customWidth="1"/>
    <col min="18" max="18" width="7.53515625" style="20" bestFit="1" customWidth="1"/>
    <col min="19" max="19" width="6.53515625" bestFit="1" customWidth="1"/>
    <col min="20" max="20" width="7.53515625" style="20" bestFit="1" customWidth="1"/>
    <col min="21" max="21" width="6.07421875" bestFit="1" customWidth="1"/>
    <col min="22" max="22" width="8.4609375" style="20" bestFit="1" customWidth="1"/>
    <col min="23" max="23" width="6.53515625" bestFit="1" customWidth="1"/>
    <col min="24" max="24" width="8.3046875" style="20" bestFit="1" customWidth="1"/>
    <col min="25" max="25" width="7.69140625" customWidth="1"/>
    <col min="26" max="26" width="8.3046875" style="20" bestFit="1" customWidth="1"/>
    <col min="27" max="27" width="6.69140625" bestFit="1" customWidth="1"/>
    <col min="28" max="28" width="8.3046875" style="20" bestFit="1" customWidth="1"/>
    <col min="29" max="29" width="6.69140625" bestFit="1" customWidth="1"/>
  </cols>
  <sheetData>
    <row r="1" spans="1:30" x14ac:dyDescent="0.35">
      <c r="A1" s="8" t="s">
        <v>129</v>
      </c>
    </row>
    <row r="3" spans="1:30" s="41" customFormat="1" ht="13" x14ac:dyDescent="0.3">
      <c r="A3" s="106"/>
      <c r="B3" s="106"/>
      <c r="C3" s="106"/>
      <c r="D3" s="106"/>
      <c r="E3" s="111"/>
      <c r="F3" s="202" t="s">
        <v>86</v>
      </c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4"/>
      <c r="AD3" s="106"/>
    </row>
    <row r="4" spans="1:30" s="41" customFormat="1" ht="12.75" customHeight="1" x14ac:dyDescent="0.25">
      <c r="A4" s="205" t="s">
        <v>87</v>
      </c>
      <c r="B4" s="205" t="s">
        <v>83</v>
      </c>
      <c r="C4" s="4"/>
      <c r="D4" s="4"/>
      <c r="E4" s="216" t="s">
        <v>130</v>
      </c>
      <c r="F4" s="209" t="s">
        <v>89</v>
      </c>
      <c r="G4" s="209"/>
      <c r="H4" s="201" t="s">
        <v>90</v>
      </c>
      <c r="I4" s="201"/>
      <c r="J4" s="201" t="s">
        <v>91</v>
      </c>
      <c r="K4" s="201"/>
      <c r="L4" s="201" t="s">
        <v>92</v>
      </c>
      <c r="M4" s="201"/>
      <c r="N4" s="201" t="s">
        <v>93</v>
      </c>
      <c r="O4" s="201"/>
      <c r="P4" s="201" t="s">
        <v>94</v>
      </c>
      <c r="Q4" s="201"/>
      <c r="R4" s="201" t="s">
        <v>95</v>
      </c>
      <c r="S4" s="201"/>
      <c r="T4" s="201" t="s">
        <v>96</v>
      </c>
      <c r="U4" s="201"/>
      <c r="V4" s="201" t="s">
        <v>97</v>
      </c>
      <c r="W4" s="201"/>
      <c r="X4" s="201" t="s">
        <v>98</v>
      </c>
      <c r="Y4" s="201"/>
      <c r="Z4" s="201" t="s">
        <v>99</v>
      </c>
      <c r="AA4" s="201"/>
      <c r="AB4" s="201" t="s">
        <v>100</v>
      </c>
      <c r="AC4" s="201"/>
      <c r="AD4" s="106"/>
    </row>
    <row r="5" spans="1:30" ht="22.5" customHeight="1" x14ac:dyDescent="0.35">
      <c r="A5" s="206"/>
      <c r="B5" s="206"/>
      <c r="C5" s="5" t="s">
        <v>19</v>
      </c>
      <c r="D5" s="5" t="s">
        <v>102</v>
      </c>
      <c r="E5" s="217"/>
      <c r="F5" s="21" t="s">
        <v>103</v>
      </c>
      <c r="G5" s="1" t="s">
        <v>104</v>
      </c>
      <c r="H5" s="21" t="s">
        <v>103</v>
      </c>
      <c r="I5" s="1" t="s">
        <v>104</v>
      </c>
      <c r="J5" s="21" t="s">
        <v>103</v>
      </c>
      <c r="K5" s="1" t="s">
        <v>104</v>
      </c>
      <c r="L5" s="21" t="s">
        <v>103</v>
      </c>
      <c r="M5" s="1" t="s">
        <v>104</v>
      </c>
      <c r="N5" s="21" t="s">
        <v>103</v>
      </c>
      <c r="O5" s="1" t="s">
        <v>104</v>
      </c>
      <c r="P5" s="21" t="s">
        <v>103</v>
      </c>
      <c r="Q5" s="1" t="s">
        <v>104</v>
      </c>
      <c r="R5" s="21" t="s">
        <v>103</v>
      </c>
      <c r="S5" s="1" t="s">
        <v>104</v>
      </c>
      <c r="T5" s="21" t="s">
        <v>103</v>
      </c>
      <c r="U5" s="1" t="s">
        <v>104</v>
      </c>
      <c r="V5" s="21" t="s">
        <v>103</v>
      </c>
      <c r="W5" s="1" t="s">
        <v>104</v>
      </c>
      <c r="X5" s="21" t="s">
        <v>103</v>
      </c>
      <c r="Y5" s="1" t="s">
        <v>104</v>
      </c>
      <c r="Z5" s="21" t="s">
        <v>103</v>
      </c>
      <c r="AA5" s="1" t="s">
        <v>104</v>
      </c>
      <c r="AB5" s="21" t="s">
        <v>103</v>
      </c>
      <c r="AC5" s="1" t="s">
        <v>104</v>
      </c>
    </row>
    <row r="6" spans="1:30" x14ac:dyDescent="0.35">
      <c r="A6" s="131">
        <v>1</v>
      </c>
      <c r="B6" s="167">
        <f>'Annual data (rates, Bands, disc'!E3</f>
        <v>0.9</v>
      </c>
      <c r="C6" s="22" t="s">
        <v>106</v>
      </c>
      <c r="D6" s="11">
        <f>'Period PSL data'!C5</f>
        <v>65.900000000000006</v>
      </c>
      <c r="E6" s="11">
        <f>D6*$B$6</f>
        <v>59.310000000000009</v>
      </c>
      <c r="F6" s="80">
        <f>'Annual data (rates, Bands, disc'!I3/12</f>
        <v>59.25</v>
      </c>
      <c r="G6" s="134">
        <f>IF('Period PSL data'!D5&gt;'PSL discount calculation'!F6,'PSL discount calculation'!F6,'Period PSL data'!D5)</f>
        <v>0</v>
      </c>
      <c r="H6" s="135">
        <f>(F6-(G6+G7+G8+G9+G10+G11))+F6</f>
        <v>118.5</v>
      </c>
      <c r="I6" s="134">
        <f>IF('Period PSL data'!E5&gt;'PSL discount calculation'!H6,'PSL discount calculation'!H6,'Period PSL data'!E5)</f>
        <v>0</v>
      </c>
      <c r="J6" s="168">
        <f>(H6-(I6+I7+I8+I9+I10+I11))+F6</f>
        <v>177.75</v>
      </c>
      <c r="K6" s="134">
        <f>IF('Period PSL data'!F5&gt;'PSL discount calculation'!J6,'PSL discount calculation'!J6,'Period PSL data'!F5)</f>
        <v>0</v>
      </c>
      <c r="L6" s="168">
        <f>(J6-(K6+K7+K8+K9+K10+K11))+F6</f>
        <v>237</v>
      </c>
      <c r="M6" s="134">
        <f>IF('Period PSL data'!G5&gt;'PSL discount calculation'!L6,'PSL discount calculation'!L6,'Period PSL data'!G5)</f>
        <v>0</v>
      </c>
      <c r="N6" s="168">
        <f>(L6-(M6+M7+M8+M9+M10+M11))+F6</f>
        <v>296.25</v>
      </c>
      <c r="O6" s="134">
        <f>IF('Period PSL data'!H5&gt;'PSL discount calculation'!N6,'PSL discount calculation'!N6,'Period PSL data'!H5)</f>
        <v>0</v>
      </c>
      <c r="P6" s="168">
        <f>(N6-(O6+O7+O8+O9+O10+O11))+F6</f>
        <v>355.5</v>
      </c>
      <c r="Q6" s="134">
        <f>IF('Period PSL data'!I5&gt;'PSL discount calculation'!P6,'PSL discount calculation'!P6,'Period PSL data'!I5)</f>
        <v>0</v>
      </c>
      <c r="R6" s="168">
        <f>(P6-(Q6+Q7+Q8+Q9+Q10+Q11))+F6</f>
        <v>414.75</v>
      </c>
      <c r="S6" s="134">
        <f>IF('Period PSL data'!J5&gt;'PSL discount calculation'!R6,'PSL discount calculation'!R6,'Period PSL data'!J5)</f>
        <v>0</v>
      </c>
      <c r="T6" s="168">
        <f>(R6-(S6+S7+S8+S9+S10+S11))+F6</f>
        <v>474</v>
      </c>
      <c r="U6" s="134">
        <f>IF('Period PSL data'!K5&gt;'PSL discount calculation'!T6,'PSL discount calculation'!T6,'Period PSL data'!K5)</f>
        <v>0</v>
      </c>
      <c r="V6" s="168">
        <f>(T6-(U6+U7+U8+U9+U10+U11))+F6</f>
        <v>533.25</v>
      </c>
      <c r="W6" s="134">
        <f>IF('Period PSL data'!L5&gt;'PSL discount calculation'!V6,'PSL discount calculation'!V6,'Period PSL data'!L5)</f>
        <v>0</v>
      </c>
      <c r="X6" s="168">
        <f>(V6-(W6+W7+W8+W9+W10+W11))+F6</f>
        <v>592.5</v>
      </c>
      <c r="Y6" s="134">
        <f>IF('Period PSL data'!M5&gt;'PSL discount calculation'!X6,'PSL discount calculation'!X6,'Period PSL data'!M5)</f>
        <v>0</v>
      </c>
      <c r="Z6" s="168">
        <f>(X6-(Y6+Y7+Y8+Y9+Y10+Y11))+F6</f>
        <v>651.75</v>
      </c>
      <c r="AA6" s="134">
        <f>IF('Period PSL data'!N5&gt;'PSL discount calculation'!Z6,'PSL discount calculation'!Z6,'Period PSL data'!N5)</f>
        <v>0</v>
      </c>
      <c r="AB6" s="168">
        <f>(Z6-(AA6+AA7+AA8+AA9+AA10+AA11))+F6</f>
        <v>711</v>
      </c>
      <c r="AC6" s="134">
        <f>IF('Period PSL data'!O5&gt;'PSL discount calculation'!AB6,'PSL discount calculation'!AB6,'Period PSL data'!O5)</f>
        <v>0</v>
      </c>
      <c r="AD6" s="136">
        <f>G6+I6+K6+M6+O6+Q6+S6+U6+W6+Y6+AA6+AC6</f>
        <v>0</v>
      </c>
    </row>
    <row r="7" spans="1:30" x14ac:dyDescent="0.35">
      <c r="A7" s="131"/>
      <c r="B7" s="156"/>
      <c r="C7" s="22" t="s">
        <v>107</v>
      </c>
      <c r="D7" s="11">
        <f>'Period PSL data'!C6</f>
        <v>98.850000000000009</v>
      </c>
      <c r="E7" s="11">
        <f t="shared" ref="E7:E11" si="0">D7*$B$6</f>
        <v>88.965000000000003</v>
      </c>
      <c r="F7" s="168"/>
      <c r="G7" s="137">
        <f>IF(G6=F6,0,IF('Period PSL data'!D6&lt;'PSL discount calculation'!F6-G6,'Period PSL data'!D6,'PSL discount calculation'!F6-'PSL discount calculation'!G6))</f>
        <v>0</v>
      </c>
      <c r="H7" s="168"/>
      <c r="I7" s="137">
        <f>IF(I6=H6,0,IF('Period PSL data'!E6&lt;'PSL discount calculation'!H6-I6,'Period PSL data'!E6,'PSL discount calculation'!H6-'PSL discount calculation'!I6))</f>
        <v>0</v>
      </c>
      <c r="J7" s="168"/>
      <c r="K7" s="137">
        <f>IF(K6=J6,0,IF('Period PSL data'!F6&lt;'PSL discount calculation'!J6-K6,'Period PSL data'!F6,'PSL discount calculation'!J6-'PSL discount calculation'!K6))</f>
        <v>0</v>
      </c>
      <c r="L7" s="168"/>
      <c r="M7" s="137">
        <f>IF(M6=L6,0,IF('Period PSL data'!G6&lt;'PSL discount calculation'!L6-M6,'Period PSL data'!G6,'PSL discount calculation'!L6-'PSL discount calculation'!M6))</f>
        <v>0</v>
      </c>
      <c r="N7" s="168"/>
      <c r="O7" s="137">
        <f>IF(O6=N6,0,IF('Period PSL data'!H6&lt;'PSL discount calculation'!N6-O6,'Period PSL data'!H6,'PSL discount calculation'!N6-'PSL discount calculation'!O6))</f>
        <v>0</v>
      </c>
      <c r="P7" s="168"/>
      <c r="Q7" s="137">
        <f>IF(Q6=P6,0,IF('Period PSL data'!I6&lt;'PSL discount calculation'!P6-Q6,'Period PSL data'!I6,'PSL discount calculation'!P6-'PSL discount calculation'!Q6))</f>
        <v>0</v>
      </c>
      <c r="R7" s="168"/>
      <c r="S7" s="137">
        <f>IF(S6=R6,0,IF('Period PSL data'!J6&lt;'PSL discount calculation'!R6-S6,'Period PSL data'!J6,'PSL discount calculation'!R6-'PSL discount calculation'!S6))</f>
        <v>0</v>
      </c>
      <c r="T7" s="168"/>
      <c r="U7" s="137">
        <f>IF(U6=T6,0,IF('Period PSL data'!K6&lt;'PSL discount calculation'!T6-U6,'Period PSL data'!K6,'PSL discount calculation'!T6-'PSL discount calculation'!U6))</f>
        <v>0</v>
      </c>
      <c r="V7" s="168"/>
      <c r="W7" s="137">
        <f>IF(W6=V6,0,IF('Period PSL data'!L6&lt;'PSL discount calculation'!V6-W6,'Period PSL data'!L6,'PSL discount calculation'!V6-'PSL discount calculation'!W6))</f>
        <v>0</v>
      </c>
      <c r="X7" s="168"/>
      <c r="Y7" s="137">
        <f>IF(Y6=X6,0,IF('Period PSL data'!M6&lt;'PSL discount calculation'!X6-Y6,'Period PSL data'!M6,'PSL discount calculation'!X6-'PSL discount calculation'!Y6))</f>
        <v>0</v>
      </c>
      <c r="Z7" s="168"/>
      <c r="AA7" s="137">
        <f>IF(AA6=Z6,0,IF('Period PSL data'!N6&lt;'PSL discount calculation'!Z6-AA6,'Period PSL data'!N6,'PSL discount calculation'!Z6-'PSL discount calculation'!AA6))</f>
        <v>0</v>
      </c>
      <c r="AB7" s="168"/>
      <c r="AC7" s="137">
        <f>IF(AC6=AB6,0,IF('Period PSL data'!O6&lt;'PSL discount calculation'!AB6-AC6,'Period PSL data'!O6,'PSL discount calculation'!AB6-'PSL discount calculation'!AC6))</f>
        <v>0</v>
      </c>
      <c r="AD7" s="136">
        <f t="shared" ref="AD7:AD41" si="1">G7+I7+K7+M7+O7+Q7+S7+U7+W7+Y7+AA7+AC7</f>
        <v>0</v>
      </c>
    </row>
    <row r="8" spans="1:30" x14ac:dyDescent="0.35">
      <c r="A8" s="131"/>
      <c r="B8" s="156"/>
      <c r="C8" s="22" t="s">
        <v>108</v>
      </c>
      <c r="D8" s="11">
        <f>'Period PSL data'!C7</f>
        <v>131.80000000000001</v>
      </c>
      <c r="E8" s="11">
        <f t="shared" si="0"/>
        <v>118.62000000000002</v>
      </c>
      <c r="F8" s="168"/>
      <c r="G8" s="138">
        <f>IF(G6+G7=F6,0,IF('Period PSL data'!D7&lt;'PSL discount calculation'!F6-(G6+G7),'Period PSL data'!D7,'PSL discount calculation'!F6-('PSL discount calculation'!G6+G7)))</f>
        <v>0</v>
      </c>
      <c r="H8" s="168"/>
      <c r="I8" s="138">
        <f>IF(I6+I7=H6,0,IF('Period PSL data'!E7&lt;'PSL discount calculation'!H6-(I6+I7),'Period PSL data'!E7,'PSL discount calculation'!H6-('PSL discount calculation'!I6+I7)))</f>
        <v>0</v>
      </c>
      <c r="J8" s="168"/>
      <c r="K8" s="138">
        <f>IF(K6+K7=J6,0,IF('Period PSL data'!F7&lt;'PSL discount calculation'!J6-(K6+K7),'Period PSL data'!F7,'PSL discount calculation'!J6-('PSL discount calculation'!K6+K7)))</f>
        <v>0</v>
      </c>
      <c r="L8" s="168"/>
      <c r="M8" s="138">
        <f>IF(M6+M7=L6,0,IF('Period PSL data'!G7&lt;'PSL discount calculation'!L6-(M6+M7),'Period PSL data'!G7,'PSL discount calculation'!L6-('PSL discount calculation'!M6+M7)))</f>
        <v>0</v>
      </c>
      <c r="N8" s="168"/>
      <c r="O8" s="138">
        <f>IF(O6+O7=N6,0,IF('Period PSL data'!H7&lt;'PSL discount calculation'!N6-(O6+O7),'Period PSL data'!H7,'PSL discount calculation'!N6-('PSL discount calculation'!O6+O7)))</f>
        <v>0</v>
      </c>
      <c r="P8" s="168"/>
      <c r="Q8" s="138">
        <f>IF(Q6+Q7=P6,0,IF('Period PSL data'!I7&lt;'PSL discount calculation'!P6-(Q6+Q7),'Period PSL data'!I7,'PSL discount calculation'!P6-('PSL discount calculation'!Q6+Q7)))</f>
        <v>0</v>
      </c>
      <c r="R8" s="168"/>
      <c r="S8" s="138">
        <f>IF(S6+S7=R6,0,IF('Period PSL data'!J7&lt;'PSL discount calculation'!R6-(S6+S7),'Period PSL data'!J7,'PSL discount calculation'!R6-('PSL discount calculation'!S6+S7)))</f>
        <v>0</v>
      </c>
      <c r="T8" s="168"/>
      <c r="U8" s="138">
        <f>IF(U6+U7=T6,0,IF('Period PSL data'!K7&lt;'PSL discount calculation'!T6-(U6+U7),'Period PSL data'!K7,'PSL discount calculation'!T6-('PSL discount calculation'!U6+U7)))</f>
        <v>0</v>
      </c>
      <c r="V8" s="168"/>
      <c r="W8" s="138">
        <f>IF(W6+W7=V6,0,IF('Period PSL data'!L7&lt;'PSL discount calculation'!V6-(W6+W7),'Period PSL data'!L7,'PSL discount calculation'!V6-('PSL discount calculation'!W6+W7)))</f>
        <v>0</v>
      </c>
      <c r="X8" s="168"/>
      <c r="Y8" s="138">
        <f>IF(Y6+Y7=X6,0,IF('Period PSL data'!M7&lt;'PSL discount calculation'!X6-(Y6+Y7),'Period PSL data'!M7,'PSL discount calculation'!X6-('PSL discount calculation'!Y6+Y7)))</f>
        <v>0</v>
      </c>
      <c r="Z8" s="168"/>
      <c r="AA8" s="138">
        <f>IF(AA6+AA7=Z6,0,IF('Period PSL data'!N7&lt;'PSL discount calculation'!Z6-(AA6+AA7),'Period PSL data'!N7,'PSL discount calculation'!Z6-('PSL discount calculation'!AA6+AA7)))</f>
        <v>0</v>
      </c>
      <c r="AB8" s="168"/>
      <c r="AC8" s="138">
        <f>IF(AC6+AC7=AB6,0,IF('Period PSL data'!O7&lt;'PSL discount calculation'!AB6-(AC6+AC7),'Period PSL data'!O7,'PSL discount calculation'!AB6-('PSL discount calculation'!AC6+AC7)))</f>
        <v>0</v>
      </c>
      <c r="AD8" s="136">
        <f t="shared" si="1"/>
        <v>0</v>
      </c>
    </row>
    <row r="9" spans="1:30" x14ac:dyDescent="0.35">
      <c r="A9" s="131"/>
      <c r="B9" s="156"/>
      <c r="C9" s="22" t="s">
        <v>109</v>
      </c>
      <c r="D9" s="11">
        <f>'Period PSL data'!C8</f>
        <v>43.2</v>
      </c>
      <c r="E9" s="11">
        <f t="shared" si="0"/>
        <v>38.880000000000003</v>
      </c>
      <c r="F9" s="168"/>
      <c r="G9" s="139">
        <f>IF(G6+G7+G8=F6,0,IF('Period PSL data'!D8&lt;'PSL discount calculation'!F6-(G6+G7+G8),'Period PSL data'!D8,'PSL discount calculation'!F6-('PSL discount calculation'!G6+G7+G8)))</f>
        <v>0</v>
      </c>
      <c r="H9" s="168"/>
      <c r="I9" s="139">
        <f>IF(I6+I7+I8=H6,0,IF('Period PSL data'!E8&lt;'PSL discount calculation'!H6-(I6+I7+I8),'Period PSL data'!E8,'PSL discount calculation'!H6-('PSL discount calculation'!I6+I7+I8)))</f>
        <v>0</v>
      </c>
      <c r="J9" s="168"/>
      <c r="K9" s="139">
        <f>IF(K6+K7+K8=J6,0,IF('Period PSL data'!F8&lt;'PSL discount calculation'!J6-(K6+K7+K8),'Period PSL data'!F8,'PSL discount calculation'!J6-('PSL discount calculation'!K6+K7+K8)))</f>
        <v>0</v>
      </c>
      <c r="L9" s="168"/>
      <c r="M9" s="139">
        <f>IF(M6+M7+M8=L6,0,IF('Period PSL data'!G8&lt;'PSL discount calculation'!L6-(M6+M7+M8),'Period PSL data'!G8,'PSL discount calculation'!L6-('PSL discount calculation'!M6+M7+M8)))</f>
        <v>0</v>
      </c>
      <c r="N9" s="168"/>
      <c r="O9" s="139">
        <f>IF(O6+O7+O8=N6,0,IF('Period PSL data'!H8&lt;'PSL discount calculation'!N6-(O6+O7+O8),'Period PSL data'!H8,'PSL discount calculation'!N6-('PSL discount calculation'!O6+O7+O8)))</f>
        <v>0</v>
      </c>
      <c r="P9" s="168"/>
      <c r="Q9" s="139">
        <f>IF(Q6+Q7+Q8=P6,0,IF('Period PSL data'!I8&lt;'PSL discount calculation'!P6-(Q6+Q7+Q8),'Period PSL data'!I8,'PSL discount calculation'!P6-('PSL discount calculation'!Q6+Q7+Q8)))</f>
        <v>0</v>
      </c>
      <c r="R9" s="168"/>
      <c r="S9" s="139">
        <f>IF(S6+S7+S8=R6,0,IF('Period PSL data'!J8&lt;'PSL discount calculation'!R6-(S6+S7+S8),'Period PSL data'!J8,'PSL discount calculation'!R6-('PSL discount calculation'!S6+S7+S8)))</f>
        <v>0</v>
      </c>
      <c r="T9" s="168"/>
      <c r="U9" s="139">
        <f>IF(U6+U7+U8=T6,0,IF('Period PSL data'!K8&lt;'PSL discount calculation'!T6-(U6+U7+U8),'Period PSL data'!K8,'PSL discount calculation'!T6-('PSL discount calculation'!U6+U7+U8)))</f>
        <v>0</v>
      </c>
      <c r="V9" s="168"/>
      <c r="W9" s="139">
        <f>IF(W6+W7+W8=V6,0,IF('Period PSL data'!L8&lt;'PSL discount calculation'!V6-(W6+W7+W8),'Period PSL data'!L8,'PSL discount calculation'!V6-('PSL discount calculation'!W6+W7+W8)))</f>
        <v>0</v>
      </c>
      <c r="X9" s="168"/>
      <c r="Y9" s="139">
        <f>IF(Y6+Y7+Y8=X6,0,IF('Period PSL data'!M8&lt;'PSL discount calculation'!X6-(Y6+Y7+Y8),'Period PSL data'!M8,'PSL discount calculation'!X6-('PSL discount calculation'!Y6+Y7+Y8)))</f>
        <v>0</v>
      </c>
      <c r="Z9" s="168"/>
      <c r="AA9" s="139">
        <f>IF(AA6+AA7+AA8=Z6,0,IF('Period PSL data'!N8&lt;'PSL discount calculation'!Z6-(AA6+AA7+AA8),'Period PSL data'!N8,'PSL discount calculation'!Z6-('PSL discount calculation'!AA6+AA7+AA8)))</f>
        <v>0</v>
      </c>
      <c r="AB9" s="168"/>
      <c r="AC9" s="139">
        <f>IF(AC6+AC7+AC8=AB6,0,IF('Period PSL data'!O8&lt;'PSL discount calculation'!AB6-(AC6+AC7+AC8),'Period PSL data'!O8,'PSL discount calculation'!AB6-('PSL discount calculation'!AC6+AC7+AC8)))</f>
        <v>0</v>
      </c>
      <c r="AD9" s="136">
        <f t="shared" si="1"/>
        <v>0</v>
      </c>
    </row>
    <row r="10" spans="1:30" x14ac:dyDescent="0.35">
      <c r="A10" s="131"/>
      <c r="B10" s="156"/>
      <c r="C10" s="22" t="s">
        <v>110</v>
      </c>
      <c r="D10" s="11">
        <f>'Period PSL data'!C9</f>
        <v>64.800000000000011</v>
      </c>
      <c r="E10" s="11">
        <f t="shared" si="0"/>
        <v>58.320000000000014</v>
      </c>
      <c r="F10" s="168"/>
      <c r="G10" s="140">
        <f>IF(G6+G7+G8+G9=F6,0,IF('Period PSL data'!D9&lt;'PSL discount calculation'!F6-(G6+G7+G8+G9),'Period PSL data'!D9,'PSL discount calculation'!F6-('PSL discount calculation'!G6+G7+G8+G9)))</f>
        <v>0</v>
      </c>
      <c r="H10" s="168"/>
      <c r="I10" s="140">
        <f>IF(I6+I7+I8+I9=H6,0,IF('Period PSL data'!E9&lt;'PSL discount calculation'!H6-(I6+I7+I8+I9),'Period PSL data'!E9,'PSL discount calculation'!H6-('PSL discount calculation'!I6+I7+I8+I9)))</f>
        <v>0</v>
      </c>
      <c r="J10" s="168"/>
      <c r="K10" s="140">
        <f>IF(K6+K7+K8+K9=J6,0,IF('Period PSL data'!F9&lt;'PSL discount calculation'!J6-(K6+K7+K8+K9),'Period PSL data'!F9,'PSL discount calculation'!J6-('PSL discount calculation'!K6+K7+K8+K9)))</f>
        <v>0</v>
      </c>
      <c r="L10" s="168"/>
      <c r="M10" s="140">
        <f>IF(M6+M7+M8+M9=L6,0,IF('Period PSL data'!G9&lt;'PSL discount calculation'!L6-(M6+M7+M8+M9),'Period PSL data'!G9,'PSL discount calculation'!L6-('PSL discount calculation'!M6+M7+M8+M9)))</f>
        <v>0</v>
      </c>
      <c r="N10" s="168"/>
      <c r="O10" s="140">
        <f>IF(O6+O7+O8+O9=N6,0,IF('Period PSL data'!H9&lt;'PSL discount calculation'!N6-(O6+O7+O8+O9),'Period PSL data'!H9,'PSL discount calculation'!N6-('PSL discount calculation'!O6+O7+O8+O9)))</f>
        <v>0</v>
      </c>
      <c r="P10" s="168"/>
      <c r="Q10" s="140">
        <f>IF(Q6+Q7+Q8+Q9=P6,0,IF('Period PSL data'!I9&lt;'PSL discount calculation'!P6-(Q6+Q7+Q8+Q9),'Period PSL data'!I9,'PSL discount calculation'!P6-('PSL discount calculation'!Q6+Q7+Q8+Q9)))</f>
        <v>0</v>
      </c>
      <c r="R10" s="168"/>
      <c r="S10" s="140">
        <f>IF(S6+S7+S8+S9=R6,0,IF('Period PSL data'!J9&lt;'PSL discount calculation'!R6-(S6+S7+S8+S9),'Period PSL data'!J9,'PSL discount calculation'!R6-('PSL discount calculation'!S6+S7+S8+S9)))</f>
        <v>0</v>
      </c>
      <c r="T10" s="168"/>
      <c r="U10" s="140">
        <f>IF(U6+U7+U8+U9=T6,0,IF('Period PSL data'!K9&lt;'PSL discount calculation'!T6-(U6+U7+U8+U9),'Period PSL data'!K9,'PSL discount calculation'!T6-('PSL discount calculation'!U6+U7+U8+U9)))</f>
        <v>0</v>
      </c>
      <c r="V10" s="168"/>
      <c r="W10" s="140">
        <f>IF(W6+W7+W8+W9=V6,0,IF('Period PSL data'!L9&lt;'PSL discount calculation'!V6-(W6+W7+W8+W9),'Period PSL data'!L9,'PSL discount calculation'!V6-('PSL discount calculation'!W6+W7+W8+W9)))</f>
        <v>0</v>
      </c>
      <c r="X10" s="168"/>
      <c r="Y10" s="140">
        <f>IF(Y6+Y7+Y8+Y9=X6,0,IF('Period PSL data'!M9&lt;'PSL discount calculation'!X6-(Y6+Y7+Y8+Y9),'Period PSL data'!M9,'PSL discount calculation'!X6-('PSL discount calculation'!Y6+Y7+Y8+Y9)))</f>
        <v>0</v>
      </c>
      <c r="Z10" s="168"/>
      <c r="AA10" s="140">
        <f>IF(AA6+AA7+AA8+AA9=Z6,0,IF('Period PSL data'!N9&lt;'PSL discount calculation'!Z6-(AA6+AA7+AA8+AA9),'Period PSL data'!N9,'PSL discount calculation'!Z6-('PSL discount calculation'!AA6+AA7+AA8+AA9)))</f>
        <v>0</v>
      </c>
      <c r="AB10" s="168"/>
      <c r="AC10" s="140">
        <f>IF(AC6+AC7+AC8+AC9=AB6,0,IF('Period PSL data'!O9&lt;'PSL discount calculation'!AB6-(AC6+AC7+AC8+AC9),'Period PSL data'!O9,'PSL discount calculation'!AB6-('PSL discount calculation'!AC6+AC7+AC8+AC9)))</f>
        <v>0</v>
      </c>
      <c r="AD10" s="136">
        <f t="shared" si="1"/>
        <v>0</v>
      </c>
    </row>
    <row r="11" spans="1:30" x14ac:dyDescent="0.35">
      <c r="A11" s="131"/>
      <c r="B11" s="156"/>
      <c r="C11" s="22" t="s">
        <v>111</v>
      </c>
      <c r="D11" s="11">
        <f>'Period PSL data'!C10</f>
        <v>86.4</v>
      </c>
      <c r="E11" s="11">
        <f t="shared" si="0"/>
        <v>77.760000000000005</v>
      </c>
      <c r="F11" s="168"/>
      <c r="G11" s="141">
        <f>IF(G6+G7+G8+G9+G10=F6,0,IF('Period PSL data'!D10&lt;'PSL discount calculation'!F6-(G6+G7+G8+G9+G10),'Period PSL data'!D10,'PSL discount calculation'!F6-('PSL discount calculation'!G6+G7+G8+G9+G10)))</f>
        <v>0</v>
      </c>
      <c r="H11" s="168"/>
      <c r="I11" s="141">
        <f>IF(I6+I7+I8+I9+I10=H6,0,IF('Period PSL data'!E10&lt;'PSL discount calculation'!H6-(I6+I7+I8+I9+I10),'Period PSL data'!E10,'PSL discount calculation'!H6-('PSL discount calculation'!I6+I7+I8+I9+I10)))</f>
        <v>0</v>
      </c>
      <c r="J11" s="168"/>
      <c r="K11" s="141">
        <f>IF(K6+K7+K8+K9+K10=J6,0,IF('Period PSL data'!F10&lt;'PSL discount calculation'!J6-(K6+K7+K8+K9+K10),'Period PSL data'!F10,'PSL discount calculation'!J6-('PSL discount calculation'!K6+K7+K8+K9+K10)))</f>
        <v>0</v>
      </c>
      <c r="L11" s="168"/>
      <c r="M11" s="141">
        <f>IF(M6+M7+M8+M9+M10=L6,0,IF('Period PSL data'!G10&lt;'PSL discount calculation'!L6-(M6+M7+M8+M9+M10),'Period PSL data'!G10,'PSL discount calculation'!L6-('PSL discount calculation'!M6+M7+M8+M9+M10)))</f>
        <v>0</v>
      </c>
      <c r="N11" s="168"/>
      <c r="O11" s="141">
        <f>IF(O6+O7+O8+O9+O10=N6,0,IF('Period PSL data'!H10&lt;'PSL discount calculation'!N6-(O6+O7+O8+O9+O10),'Period PSL data'!H10,'PSL discount calculation'!N6-('PSL discount calculation'!O6+O7+O8+O9+O10)))</f>
        <v>0</v>
      </c>
      <c r="P11" s="168"/>
      <c r="Q11" s="141">
        <f>IF(Q6+Q7+Q8+Q9+Q10=P6,0,IF('Period PSL data'!I10&lt;'PSL discount calculation'!P6-(Q6+Q7+Q8+Q9+Q10),'Period PSL data'!I10,'PSL discount calculation'!P6-('PSL discount calculation'!Q6+Q7+Q8+Q9+Q10)))</f>
        <v>0</v>
      </c>
      <c r="R11" s="168"/>
      <c r="S11" s="141">
        <f>IF(S6+S7+S8+S9+S10=R6,0,IF('Period PSL data'!J10&lt;'PSL discount calculation'!R6-(S6+S7+S8+S9+S10),'Period PSL data'!J10,'PSL discount calculation'!R6-('PSL discount calculation'!S6+S7+S8+S9+S10)))</f>
        <v>0</v>
      </c>
      <c r="T11" s="168"/>
      <c r="U11" s="141">
        <f>IF(U6+U7+U8+U9+U10=T6,0,IF('Period PSL data'!K10&lt;'PSL discount calculation'!T6-(U6+U7+U8+U9+U10),'Period PSL data'!K10,'PSL discount calculation'!T6-('PSL discount calculation'!U6+U7+U8+U9+U10)))</f>
        <v>0</v>
      </c>
      <c r="V11" s="168"/>
      <c r="W11" s="141">
        <f>IF(W6+W7+W8+W9+W10=V6,0,IF('Period PSL data'!L10&lt;'PSL discount calculation'!V6-(W6+W7+W8+W9+W10),'Period PSL data'!L10,'PSL discount calculation'!V6-('PSL discount calculation'!W6+W7+W8+W9+W10)))</f>
        <v>0</v>
      </c>
      <c r="X11" s="168"/>
      <c r="Y11" s="141">
        <f>IF(Y6+Y7+Y8+Y9+Y10=X6,0,IF('Period PSL data'!M10&lt;'PSL discount calculation'!X6-(Y6+Y7+Y8+Y9+Y10),'Period PSL data'!M10,'PSL discount calculation'!X6-('PSL discount calculation'!Y6+Y7+Y8+Y9+Y10)))</f>
        <v>0</v>
      </c>
      <c r="Z11" s="168"/>
      <c r="AA11" s="141">
        <f>IF(AA6+AA7+AA8+AA9+AA10=Z6,0,IF('Period PSL data'!N10&lt;'PSL discount calculation'!Z6-(AA6+AA7+AA8+AA9+AA10),'Period PSL data'!N10,'PSL discount calculation'!Z6-('PSL discount calculation'!AA6+AA7+AA8+AA9+AA10)))</f>
        <v>0</v>
      </c>
      <c r="AB11" s="168"/>
      <c r="AC11" s="141">
        <f>IF(AC6+AC7+AC8+AC9+AC10=AB6,0,IF('Period PSL data'!O10&lt;'PSL discount calculation'!AB6-(AC6+AC7+AC8+AC9+AC10),'Period PSL data'!O10,'PSL discount calculation'!AB6-('PSL discount calculation'!AC6+AC7+AC8+AC9+AC10)))</f>
        <v>0</v>
      </c>
      <c r="AD11" s="136">
        <f t="shared" si="1"/>
        <v>0</v>
      </c>
    </row>
    <row r="12" spans="1:30" x14ac:dyDescent="0.35">
      <c r="A12" s="131">
        <v>2</v>
      </c>
      <c r="B12" s="167">
        <f>'Annual data (rates, Bands, disc'!E4</f>
        <v>0.75</v>
      </c>
      <c r="C12" s="10" t="str">
        <f t="shared" ref="C12:D41" si="2">C6</f>
        <v>OV Single</v>
      </c>
      <c r="D12" s="11">
        <f t="shared" si="2"/>
        <v>65.900000000000006</v>
      </c>
      <c r="E12" s="11">
        <f t="shared" ref="E12:E17" si="3">D12*$B$12</f>
        <v>49.425000000000004</v>
      </c>
      <c r="F12" s="80">
        <f>'Annual data (rates, Bands, disc'!I4/12</f>
        <v>134.5</v>
      </c>
      <c r="G12" s="134">
        <f>IF('Period PSL data'!D5-'PSL discount calculation'!G6&lt;0,0,IF('Period PSL data'!D5-'PSL discount calculation'!G6&gt;'PSL discount calculation'!F12,'PSL discount calculation'!F12,'Period PSL data'!D5-'PSL discount calculation'!G6))</f>
        <v>0</v>
      </c>
      <c r="H12" s="135">
        <f>(F12-(G12+G13+G14+G15+G16+G17))+F12</f>
        <v>269</v>
      </c>
      <c r="I12" s="134">
        <f>IF('Period PSL data'!E5-'PSL discount calculation'!I6&lt;0,0,IF('Period PSL data'!E5-'PSL discount calculation'!I6&gt;'PSL discount calculation'!H12,'PSL discount calculation'!H12,'Period PSL data'!E5-'PSL discount calculation'!I6))</f>
        <v>0</v>
      </c>
      <c r="J12" s="168">
        <f>(H12-(I12+I13+I14+I15+I16+I17))+F12</f>
        <v>403.5</v>
      </c>
      <c r="K12" s="134">
        <f>IF('Period PSL data'!F5-'PSL discount calculation'!K6&lt;0,0,IF('Period PSL data'!F5-'PSL discount calculation'!K6&gt;'PSL discount calculation'!J12,'PSL discount calculation'!J12,'Period PSL data'!F5-'PSL discount calculation'!K6))</f>
        <v>0</v>
      </c>
      <c r="L12" s="168">
        <f>(J12-(K12+K13+K14+K15+K16+K17))+F12</f>
        <v>538</v>
      </c>
      <c r="M12" s="134">
        <f>IF('Period PSL data'!G5-'PSL discount calculation'!M6&lt;0,0,IF('Period PSL data'!G5-'PSL discount calculation'!M6&gt;'PSL discount calculation'!L12,'PSL discount calculation'!L12,'Period PSL data'!G5-'PSL discount calculation'!M6))</f>
        <v>0</v>
      </c>
      <c r="N12" s="168">
        <f>(L12-(M12+M13+M14+M15+M16+M17))+F12</f>
        <v>672.5</v>
      </c>
      <c r="O12" s="134">
        <f>IF('Period PSL data'!H5-'PSL discount calculation'!O6&lt;0,0,IF('Period PSL data'!H5-'PSL discount calculation'!O6&gt;'PSL discount calculation'!N12,'PSL discount calculation'!N12,'Period PSL data'!H5-'PSL discount calculation'!O6))</f>
        <v>0</v>
      </c>
      <c r="P12" s="168">
        <f>(N12-(O12+O13+O14+O15+O16+O17))+F12</f>
        <v>807</v>
      </c>
      <c r="Q12" s="134">
        <f>IF('Period PSL data'!I5-'PSL discount calculation'!Q6&lt;0,0,IF('Period PSL data'!I5-'PSL discount calculation'!Q6&gt;'PSL discount calculation'!P12,'PSL discount calculation'!P12,'Period PSL data'!I5-'PSL discount calculation'!Q6))</f>
        <v>0</v>
      </c>
      <c r="R12" s="168">
        <f>(P12-(Q12+Q13+Q14+Q15+Q16+Q17))+F12</f>
        <v>941.5</v>
      </c>
      <c r="S12" s="134">
        <f>IF('Period PSL data'!J5-'PSL discount calculation'!S6&lt;0,0,IF('Period PSL data'!J5-'PSL discount calculation'!S6&gt;'PSL discount calculation'!R12,'PSL discount calculation'!R12,'Period PSL data'!J5-'PSL discount calculation'!S6))</f>
        <v>0</v>
      </c>
      <c r="T12" s="168">
        <f>(R12-(S12+S13+S14+S15+S16+S17))+F12</f>
        <v>1076</v>
      </c>
      <c r="U12" s="134">
        <f>IF('Period PSL data'!K5-'PSL discount calculation'!U6&lt;0,0,IF('Period PSL data'!K5-'PSL discount calculation'!U6&gt;'PSL discount calculation'!T12,'PSL discount calculation'!T12,'Period PSL data'!K5-'PSL discount calculation'!U6))</f>
        <v>0</v>
      </c>
      <c r="V12" s="168">
        <f>(T12-(U12+U13+U14+U15+U16+U17))+F12</f>
        <v>1210.5</v>
      </c>
      <c r="W12" s="134">
        <f>IF('Period PSL data'!L5-'PSL discount calculation'!W6&lt;0,0,IF('Period PSL data'!L5-'PSL discount calculation'!W6&gt;'PSL discount calculation'!V12,'PSL discount calculation'!V12,'Period PSL data'!L5-'PSL discount calculation'!W6))</f>
        <v>0</v>
      </c>
      <c r="X12" s="168">
        <f>(V12-(W12+W13+W14+W15+W16+W17))+F12</f>
        <v>1345</v>
      </c>
      <c r="Y12" s="134">
        <f>IF('Period PSL data'!M5-'PSL discount calculation'!Y6&lt;0,0,IF('Period PSL data'!M5-'PSL discount calculation'!Y6&gt;'PSL discount calculation'!X12,'PSL discount calculation'!X12,'Period PSL data'!M5-'PSL discount calculation'!Y6))</f>
        <v>0</v>
      </c>
      <c r="Z12" s="168">
        <f>(X12-(Y12+Y13+Y14+Y15+Y16+Y17))+F12</f>
        <v>1479.5</v>
      </c>
      <c r="AA12" s="134">
        <f>IF('Period PSL data'!N5-'PSL discount calculation'!AA6&lt;0,0,IF('Period PSL data'!N5-'PSL discount calculation'!AA6&gt;'PSL discount calculation'!Z12,'PSL discount calculation'!Z12,'Period PSL data'!N5-'PSL discount calculation'!AA6))</f>
        <v>0</v>
      </c>
      <c r="AB12" s="168">
        <f>(Z12-(AA12+AA13+AA14+AA15+AA16+AA17))+F12</f>
        <v>1614</v>
      </c>
      <c r="AC12" s="134">
        <f>IF('Period PSL data'!O5-'PSL discount calculation'!AC6&lt;0,0,IF('Period PSL data'!O5-'PSL discount calculation'!AC6&gt;'PSL discount calculation'!AB12,'PSL discount calculation'!AB12,'Period PSL data'!O5-'PSL discount calculation'!AC6))</f>
        <v>0</v>
      </c>
      <c r="AD12" s="136">
        <f t="shared" si="1"/>
        <v>0</v>
      </c>
    </row>
    <row r="13" spans="1:30" x14ac:dyDescent="0.35">
      <c r="A13" s="131"/>
      <c r="B13" s="156"/>
      <c r="C13" s="10" t="str">
        <f t="shared" si="2"/>
        <v>OV 1.5</v>
      </c>
      <c r="D13" s="11">
        <f t="shared" si="2"/>
        <v>98.850000000000009</v>
      </c>
      <c r="E13" s="11">
        <f t="shared" si="3"/>
        <v>74.137500000000003</v>
      </c>
      <c r="F13" s="168"/>
      <c r="G13" s="137">
        <f>IF(G12=F12,0,IF('Period PSL data'!D6-G7&lt;'PSL discount calculation'!F12-G12,'Period PSL data'!D6-G7,'PSL discount calculation'!F12-'PSL discount calculation'!G12))</f>
        <v>0</v>
      </c>
      <c r="H13" s="168"/>
      <c r="I13" s="137">
        <f>IF(I12=H12,0,IF('Period PSL data'!E6-I7&lt;'PSL discount calculation'!H12-I12,'Period PSL data'!E6-I7,'PSL discount calculation'!H12-'PSL discount calculation'!I12))</f>
        <v>0</v>
      </c>
      <c r="J13" s="168"/>
      <c r="K13" s="137">
        <f>IF(K12=J12,0,IF('Period PSL data'!F6-K7&lt;'PSL discount calculation'!J12-K12,'Period PSL data'!F6-K7,'PSL discount calculation'!J12-'PSL discount calculation'!K12))</f>
        <v>0</v>
      </c>
      <c r="L13" s="168"/>
      <c r="M13" s="137">
        <f>IF(M12=L12,0,IF('Period PSL data'!G6-M7&lt;'PSL discount calculation'!L12-M12,'Period PSL data'!G6-M7,'PSL discount calculation'!L12-'PSL discount calculation'!M12))</f>
        <v>0</v>
      </c>
      <c r="N13" s="168"/>
      <c r="O13" s="137">
        <f>IF(O12=N12,0,IF('Period PSL data'!H6-O7&lt;'PSL discount calculation'!N12-O12,'Period PSL data'!H6-O7,'PSL discount calculation'!N12-'PSL discount calculation'!O12))</f>
        <v>0</v>
      </c>
      <c r="P13" s="168"/>
      <c r="Q13" s="137">
        <f>IF(Q12=P12,0,IF('Period PSL data'!I6-Q7&lt;'PSL discount calculation'!P12-Q12,'Period PSL data'!I6-Q7,'PSL discount calculation'!P12-'PSL discount calculation'!Q12))</f>
        <v>0</v>
      </c>
      <c r="R13" s="168"/>
      <c r="S13" s="137">
        <f>IF(S12=R12,0,IF('Period PSL data'!J6-S7&lt;'PSL discount calculation'!R12-S12,'Period PSL data'!J6-S7,'PSL discount calculation'!R12-'PSL discount calculation'!S12))</f>
        <v>0</v>
      </c>
      <c r="T13" s="168"/>
      <c r="U13" s="137">
        <f>IF(U12=T12,0,IF('Period PSL data'!K6-U7&lt;'PSL discount calculation'!T12-U12,'Period PSL data'!K6-U7,'PSL discount calculation'!T12-'PSL discount calculation'!U12))</f>
        <v>0</v>
      </c>
      <c r="V13" s="168"/>
      <c r="W13" s="137">
        <f>IF(W12=V12,0,IF('Period PSL data'!L6-W7&lt;'PSL discount calculation'!V12-W12,'Period PSL data'!L6-W7,'PSL discount calculation'!V12-'PSL discount calculation'!W12))</f>
        <v>0</v>
      </c>
      <c r="X13" s="168"/>
      <c r="Y13" s="137">
        <f>IF(Y12=X12,0,IF('Period PSL data'!M6-Y7&lt;'PSL discount calculation'!X12-Y12,'Period PSL data'!M6-Y7,'PSL discount calculation'!X12-'PSL discount calculation'!Y12))</f>
        <v>0</v>
      </c>
      <c r="Z13" s="168"/>
      <c r="AA13" s="137">
        <f>IF(AA12=Z12,0,IF('Period PSL data'!N6-AA7&lt;'PSL discount calculation'!Z12-AA12,'Period PSL data'!N6-AA7,'PSL discount calculation'!Z12-'PSL discount calculation'!AA12))</f>
        <v>0</v>
      </c>
      <c r="AB13" s="168"/>
      <c r="AC13" s="137">
        <f>IF(AC12=AB12,0,IF('Period PSL data'!O6-AC7&lt;'PSL discount calculation'!AB12-AC12,'Period PSL data'!O6-AC7,'PSL discount calculation'!AB12-'PSL discount calculation'!AC12))</f>
        <v>0</v>
      </c>
      <c r="AD13" s="136">
        <f t="shared" si="1"/>
        <v>0</v>
      </c>
    </row>
    <row r="14" spans="1:30" x14ac:dyDescent="0.35">
      <c r="A14" s="131"/>
      <c r="B14" s="156"/>
      <c r="C14" s="10" t="str">
        <f t="shared" si="2"/>
        <v>OV Dbl</v>
      </c>
      <c r="D14" s="11">
        <f t="shared" si="2"/>
        <v>131.80000000000001</v>
      </c>
      <c r="E14" s="11">
        <f t="shared" si="3"/>
        <v>98.850000000000009</v>
      </c>
      <c r="F14" s="168"/>
      <c r="G14" s="138">
        <f>IF(G12+G13=F12,0,IF('Period PSL data'!D7-G8&lt;'PSL discount calculation'!F12-(G12+G13),'Period PSL data'!D7-G8,'PSL discount calculation'!F12-'PSL discount calculation'!G12+G13))</f>
        <v>0</v>
      </c>
      <c r="H14" s="168"/>
      <c r="I14" s="138">
        <f>IF(I12+I13=H12,0,IF('Period PSL data'!E7-I8&lt;'PSL discount calculation'!H12-(I12+I13),'Period PSL data'!E7-I8,'PSL discount calculation'!H12-'PSL discount calculation'!I12+I13))</f>
        <v>0</v>
      </c>
      <c r="J14" s="168"/>
      <c r="K14" s="138">
        <f>IF(K12+K13=J12,0,IF('Period PSL data'!F7-K8&lt;'PSL discount calculation'!J12-(K12+K13),'Period PSL data'!F7-K8,'PSL discount calculation'!J12-('PSL discount calculation'!K12+K13)))</f>
        <v>0</v>
      </c>
      <c r="L14" s="168"/>
      <c r="M14" s="138">
        <f>IF(M12+M13=L12,0,IF('Period PSL data'!G7-M8&lt;'PSL discount calculation'!L12-(M12+M13),'Period PSL data'!G7-M8,'PSL discount calculation'!L12-('PSL discount calculation'!M12+M13)))</f>
        <v>0</v>
      </c>
      <c r="N14" s="168"/>
      <c r="O14" s="138">
        <f>IF(O12+O13=N12,0,IF('Period PSL data'!H7-O8&lt;'PSL discount calculation'!N12-(O12+O13),'Period PSL data'!H7-O8,'PSL discount calculation'!N12-'PSL discount calculation'!O12+O13))</f>
        <v>0</v>
      </c>
      <c r="P14" s="168"/>
      <c r="Q14" s="138">
        <f>IF(Q12+Q13=P12,0,IF('Period PSL data'!I7-Q8&lt;'PSL discount calculation'!P12-(Q12+Q13),'Period PSL data'!I7-Q8,'PSL discount calculation'!P12-'PSL discount calculation'!Q12+Q13))</f>
        <v>0</v>
      </c>
      <c r="R14" s="168"/>
      <c r="S14" s="138">
        <f>IF(S12+S13=R12,0,IF('Period PSL data'!J7-S8&lt;'PSL discount calculation'!R12-(S12+S13),'Period PSL data'!J7-S8,'PSL discount calculation'!R12-'PSL discount calculation'!S12+S13))</f>
        <v>0</v>
      </c>
      <c r="T14" s="168"/>
      <c r="U14" s="138">
        <f>IF(U12+U13=T12,0,IF('Period PSL data'!K7-U8&lt;'PSL discount calculation'!T12-(U12+U13),'Period PSL data'!K7-U8,'PSL discount calculation'!T12-'PSL discount calculation'!U12+U13))</f>
        <v>0</v>
      </c>
      <c r="V14" s="168"/>
      <c r="W14" s="138">
        <f>IF(W12+W13=V12,0,IF('Period PSL data'!L7-W8&lt;'PSL discount calculation'!V12-(W12+W13),'Period PSL data'!L7-W8,'PSL discount calculation'!V12-'PSL discount calculation'!W12+W13))</f>
        <v>0</v>
      </c>
      <c r="X14" s="168"/>
      <c r="Y14" s="138">
        <f>IF(Y12+Y13=X12,0,IF('Period PSL data'!M7-Y8&lt;'PSL discount calculation'!X12-(Y12+Y13),'Period PSL data'!M7-Y8,'PSL discount calculation'!X12-'PSL discount calculation'!Y12+Y13))</f>
        <v>0</v>
      </c>
      <c r="Z14" s="168"/>
      <c r="AA14" s="138">
        <f>IF(AA12+AA13=Z12,0,IF('Period PSL data'!N7-AA8&lt;'PSL discount calculation'!Z12-(AA12+AA13),'Period PSL data'!N7-AA8,'PSL discount calculation'!Z12-'PSL discount calculation'!AA12+AA13))</f>
        <v>0</v>
      </c>
      <c r="AB14" s="168"/>
      <c r="AC14" s="138">
        <f>IF(AC12+AC13=AB12,0,IF('Period PSL data'!O7-AC8&lt;'PSL discount calculation'!AB12-(AC12+AC13),'Period PSL data'!O7-AC8,'PSL discount calculation'!AB12-'PSL discount calculation'!AC12+AC13))</f>
        <v>0</v>
      </c>
      <c r="AD14" s="136">
        <f t="shared" si="1"/>
        <v>0</v>
      </c>
    </row>
    <row r="15" spans="1:30" x14ac:dyDescent="0.35">
      <c r="A15" s="131"/>
      <c r="B15" s="156"/>
      <c r="C15" s="10" t="str">
        <f t="shared" si="2"/>
        <v>SMI Single</v>
      </c>
      <c r="D15" s="11">
        <f t="shared" si="2"/>
        <v>43.2</v>
      </c>
      <c r="E15" s="11">
        <f t="shared" si="3"/>
        <v>32.400000000000006</v>
      </c>
      <c r="F15" s="168"/>
      <c r="G15" s="139">
        <f>IF(G12+G13+G14=F12,0,IF('Period PSL data'!D8-G9&lt;'PSL discount calculation'!F12-(G12+G13+G14),'Period PSL data'!D8-G9,'PSL discount calculation'!F12-('PSL discount calculation'!G12+G13+G14)))</f>
        <v>0</v>
      </c>
      <c r="H15" s="168"/>
      <c r="I15" s="139">
        <f>IF(I12+I13+I14=H12,0,IF('Period PSL data'!E8-I9&lt;'PSL discount calculation'!H12-(I12+I13+I14),'Period PSL data'!E8-I9,'PSL discount calculation'!H12-('PSL discount calculation'!I12+I13+I14)))</f>
        <v>0</v>
      </c>
      <c r="J15" s="168"/>
      <c r="K15" s="139">
        <f>IF(K12+K13+K14=J12,0,IF('Period PSL data'!F8-K9&lt;'PSL discount calculation'!J12-(K12+K13+K14),'Period PSL data'!F8-K9,'PSL discount calculation'!J12-('PSL discount calculation'!K12+K13+K14)))</f>
        <v>0</v>
      </c>
      <c r="L15" s="168"/>
      <c r="M15" s="139">
        <f>IF(M12+M13+M14=L12,0,IF('Period PSL data'!G8-M9&lt;'PSL discount calculation'!L12-(M12+M13+M14),'Period PSL data'!G8-M9,'PSL discount calculation'!L12-('PSL discount calculation'!M12+M13+M14)))</f>
        <v>0</v>
      </c>
      <c r="N15" s="168"/>
      <c r="O15" s="139">
        <f>IF(O12+O13+O14=N12,0,IF('Period PSL data'!H8-O9&lt;'PSL discount calculation'!N12-(O12+O13+O14),'Period PSL data'!H8-O9,'PSL discount calculation'!N12-('PSL discount calculation'!O12+O13+O14)))</f>
        <v>0</v>
      </c>
      <c r="P15" s="168"/>
      <c r="Q15" s="139">
        <f>IF(Q12+Q13+Q14=P12,0,IF('Period PSL data'!I8-Q9&lt;'PSL discount calculation'!P12-(Q12+Q13+Q14),'Period PSL data'!I8-Q9,'PSL discount calculation'!P12-('PSL discount calculation'!Q12+Q13+Q14)))</f>
        <v>0</v>
      </c>
      <c r="R15" s="168"/>
      <c r="S15" s="139">
        <f>IF(S12+S13+S14=R12,0,IF('Period PSL data'!J8-S9&lt;'PSL discount calculation'!R12-(S12+S13+S14),'Period PSL data'!J8-S9,'PSL discount calculation'!R12-('PSL discount calculation'!S12+S13+S14)))</f>
        <v>0</v>
      </c>
      <c r="T15" s="168"/>
      <c r="U15" s="139">
        <f>IF(U12+U13+U14=T12,0,IF('Period PSL data'!K8-U9&lt;'PSL discount calculation'!T12-(U12+U13+U14),'Period PSL data'!K8-U9,'PSL discount calculation'!T12-('PSL discount calculation'!U12+U13+U14)))</f>
        <v>0</v>
      </c>
      <c r="V15" s="168"/>
      <c r="W15" s="139">
        <f>IF(W12+W13+W14=V12,0,IF('Period PSL data'!L8-W9&lt;'PSL discount calculation'!V12-(W12+W13+W14),'Period PSL data'!L8-W9,'PSL discount calculation'!V12-('PSL discount calculation'!W12+W13+W14)))</f>
        <v>0</v>
      </c>
      <c r="X15" s="168"/>
      <c r="Y15" s="139">
        <f>IF(Y12+Y13+Y14=X12,0,IF('Period PSL data'!M8-Y9&lt;'PSL discount calculation'!X12-(Y12+Y13+Y14),'Period PSL data'!M8-Y9,'PSL discount calculation'!X12-('PSL discount calculation'!Y12+Y13+Y14)))</f>
        <v>0</v>
      </c>
      <c r="Z15" s="168"/>
      <c r="AA15" s="139">
        <f>IF(AA12+AA13+AA14=Z12,0,IF('Period PSL data'!N8-AA9&lt;'PSL discount calculation'!Z12-(AA12+AA13+AA14),'Period PSL data'!N8-AA9,'PSL discount calculation'!Z12-('PSL discount calculation'!AA12+AA13+AA14)))</f>
        <v>0</v>
      </c>
      <c r="AB15" s="168"/>
      <c r="AC15" s="139">
        <f>IF(AC12+AC13+AC14=AB12,0,IF('Period PSL data'!O8-AC9&lt;'PSL discount calculation'!AB12-(AC12+AC13+AC14),'Period PSL data'!O8-AC9,'PSL discount calculation'!AB12-('PSL discount calculation'!AC12+AC13+AC14)))</f>
        <v>0</v>
      </c>
      <c r="AD15" s="136">
        <f t="shared" si="1"/>
        <v>0</v>
      </c>
    </row>
    <row r="16" spans="1:30" x14ac:dyDescent="0.35">
      <c r="A16" s="131"/>
      <c r="B16" s="156"/>
      <c r="C16" s="10" t="str">
        <f t="shared" si="2"/>
        <v>SMI 1.5</v>
      </c>
      <c r="D16" s="11">
        <f t="shared" si="2"/>
        <v>64.800000000000011</v>
      </c>
      <c r="E16" s="11">
        <f t="shared" si="3"/>
        <v>48.600000000000009</v>
      </c>
      <c r="F16" s="168"/>
      <c r="G16" s="140">
        <f>IF(G12+G13+G14+G15=F12,0,IF('Period PSL data'!D9-G10&lt;'PSL discount calculation'!F12-(G12+G13+G14+G15),'Period PSL data'!D9-G10,'PSL discount calculation'!F12-('PSL discount calculation'!G12+G13+G14+G15)))</f>
        <v>0</v>
      </c>
      <c r="H16" s="168"/>
      <c r="I16" s="140">
        <f>IF(I12+I13+I14+I15=H12,0,IF('Period PSL data'!E9-I10&lt;'PSL discount calculation'!H12-(I12+I13+I14+I15),'Period PSL data'!E9-I10,'PSL discount calculation'!H12-('PSL discount calculation'!I12+I13+I14+I15)))</f>
        <v>0</v>
      </c>
      <c r="J16" s="168"/>
      <c r="K16" s="140">
        <f>IF(K12+K13+K14+K15=J12,0,IF('Period PSL data'!F9-K10&lt;'PSL discount calculation'!J12-(K12+K13+K14+K15),'Period PSL data'!F9-K10,'PSL discount calculation'!J12-('PSL discount calculation'!K12+K13+K14+K15)))</f>
        <v>0</v>
      </c>
      <c r="L16" s="168"/>
      <c r="M16" s="140">
        <f>IF(M12+M13+M14+M15=L12,0,IF('Period PSL data'!G9-M10&lt;'PSL discount calculation'!L12-(M12+M13+M14+M15),'Period PSL data'!G9-M10,'PSL discount calculation'!L12-('PSL discount calculation'!M12+M13+M14+M15)))</f>
        <v>0</v>
      </c>
      <c r="N16" s="168"/>
      <c r="O16" s="140">
        <f>IF(O12+O13+O14+O15=N12,0,IF('Period PSL data'!H9-O10&lt;'PSL discount calculation'!N12-(O12+O13+O14+O15),'Period PSL data'!H9-O10,'PSL discount calculation'!N12-('PSL discount calculation'!O12+O13+O14+O15)))</f>
        <v>0</v>
      </c>
      <c r="P16" s="168"/>
      <c r="Q16" s="140">
        <f>IF(Q12+Q13+Q14+Q15=P12,0,IF('Period PSL data'!I9-Q10&lt;'PSL discount calculation'!P12-(Q12+Q13+Q14+Q15),'Period PSL data'!I9-Q10,'PSL discount calculation'!P12-('PSL discount calculation'!Q12+Q13+Q14+Q15)))</f>
        <v>0</v>
      </c>
      <c r="R16" s="168"/>
      <c r="S16" s="140">
        <f>IF(S12+S13+S14+S15=R12,0,IF('Period PSL data'!J9-S10&lt;'PSL discount calculation'!R12-(S12+S13+S14+S15),'Period PSL data'!J9-S10,'PSL discount calculation'!R12-('PSL discount calculation'!S12+S13+S14+S15)))</f>
        <v>0</v>
      </c>
      <c r="T16" s="168"/>
      <c r="U16" s="140">
        <f>IF(U12+U13+U14+U15=T12,0,IF('Period PSL data'!K9-U10&lt;'PSL discount calculation'!T12-(U12+U13+U14+U15),'Period PSL data'!K9-U10,'PSL discount calculation'!T12-('PSL discount calculation'!U12+U13+U14+U15)))</f>
        <v>0</v>
      </c>
      <c r="V16" s="168"/>
      <c r="W16" s="140">
        <f>IF(W12+W13+W14+W15=V12,0,IF('Period PSL data'!L9-W10&lt;'PSL discount calculation'!V12-(W12+W13+W14+W15),'Period PSL data'!L9-W10,'PSL discount calculation'!V12-('PSL discount calculation'!W12+W13+W14+W15)))</f>
        <v>0</v>
      </c>
      <c r="X16" s="168"/>
      <c r="Y16" s="140">
        <f>IF(Y12+Y13+Y14+Y15=X12,0,IF('Period PSL data'!M9-Y10&lt;'PSL discount calculation'!X12-(Y12+Y13+Y14+Y15),'Period PSL data'!M9-Y10,'PSL discount calculation'!X12-('PSL discount calculation'!Y12+Y13+Y14+Y15)))</f>
        <v>0</v>
      </c>
      <c r="Z16" s="168"/>
      <c r="AA16" s="140">
        <f>IF(AA12+AA13+AA14+AA15=Z12,0,IF('Period PSL data'!N9-AA10&lt;'PSL discount calculation'!Z12-(AA12+AA13+AA14+AA15),'Period PSL data'!N9-AA10,'PSL discount calculation'!Z12-('PSL discount calculation'!AA12+AA13+AA14+AA15)))</f>
        <v>0</v>
      </c>
      <c r="AB16" s="168"/>
      <c r="AC16" s="140">
        <f>IF(AC12+AC13+AC14+AC15=AB12,0,IF('Period PSL data'!O9-AC10&lt;'PSL discount calculation'!AB12-(AC12+AC13+AC14+AC15),'Period PSL data'!O9-AC10,'PSL discount calculation'!AB12-('PSL discount calculation'!AC12+AC13+AC14+AC15)))</f>
        <v>0</v>
      </c>
      <c r="AD16" s="136">
        <f t="shared" si="1"/>
        <v>0</v>
      </c>
    </row>
    <row r="17" spans="1:30" x14ac:dyDescent="0.35">
      <c r="A17" s="131"/>
      <c r="B17" s="156"/>
      <c r="C17" s="10" t="str">
        <f t="shared" si="2"/>
        <v>SMI Dbl</v>
      </c>
      <c r="D17" s="11">
        <f t="shared" si="2"/>
        <v>86.4</v>
      </c>
      <c r="E17" s="11">
        <f t="shared" si="3"/>
        <v>64.800000000000011</v>
      </c>
      <c r="F17" s="168"/>
      <c r="G17" s="141">
        <f>IF(G12+G13+G14+G15+G16=F12,0,IF('Period PSL data'!D10-G11&lt;'PSL discount calculation'!F12-(G12+G13+G14+G15+G16),'Period PSL data'!D10-G11,'PSL discount calculation'!F12-('PSL discount calculation'!G12+G13+G14+G15+G16)))</f>
        <v>0</v>
      </c>
      <c r="H17" s="168"/>
      <c r="I17" s="141">
        <f>IF(I12+I13+I14+I15+I16=H12,0,IF('Period PSL data'!E10-I11&lt;'PSL discount calculation'!H12-(I12+I13+I14+I15+I16),'Period PSL data'!E10-I11,'PSL discount calculation'!H12-('PSL discount calculation'!I12+I13+I14+I15+I16)))</f>
        <v>0</v>
      </c>
      <c r="J17" s="168"/>
      <c r="K17" s="141">
        <f>IF(K12+K13+K14+K15+K16=J12,0,IF('Period PSL data'!F10-K11&lt;'PSL discount calculation'!J12-(K12+K13+K14+K15+K16),'Period PSL data'!F10-K11,'PSL discount calculation'!J12-('PSL discount calculation'!K12+K13+K14+K15+K16)))</f>
        <v>0</v>
      </c>
      <c r="L17" s="168"/>
      <c r="M17" s="141">
        <f>IF(M12+M13+M14+M15+M16=L12,0,IF('Period PSL data'!G10-M11&lt;'PSL discount calculation'!L12-(M12+M13+M14+M15+M16),'Period PSL data'!G10-M11,'PSL discount calculation'!L12-('PSL discount calculation'!M12+M13+M14+M15+M16)))</f>
        <v>0</v>
      </c>
      <c r="N17" s="168"/>
      <c r="O17" s="141">
        <f>IF(O12+O13+O14+O15+O16=N12,0,IF('Period PSL data'!H10-O11&lt;'PSL discount calculation'!N12-(O12+O13+O14+O15+O16),'Period PSL data'!H10-O11,'PSL discount calculation'!N12-('PSL discount calculation'!O12+O13+O14+O15+O16)))</f>
        <v>0</v>
      </c>
      <c r="P17" s="168"/>
      <c r="Q17" s="141">
        <f>IF(Q12+Q13+Q14+Q15+Q16=P12,0,IF('Period PSL data'!I10-Q11&lt;'PSL discount calculation'!P12-(Q12+Q13+Q14+Q15+Q16),'Period PSL data'!I10-Q11,'PSL discount calculation'!P12-('PSL discount calculation'!Q12+Q13+Q14+Q15+Q16)))</f>
        <v>0</v>
      </c>
      <c r="R17" s="168"/>
      <c r="S17" s="141">
        <f>IF(S12+S13+S14+S15+S16=R12,0,IF('Period PSL data'!J10-S11&lt;'PSL discount calculation'!R12-(S12+S13+S14+S15+S16),'Period PSL data'!J10-S11,'PSL discount calculation'!R12-('PSL discount calculation'!S12+S13+S14+S15+S16)))</f>
        <v>0</v>
      </c>
      <c r="T17" s="168"/>
      <c r="U17" s="141">
        <f>IF(U12+U13+U14+U15+U16=T12,0,IF('Period PSL data'!K10-U11&lt;'PSL discount calculation'!T12-(U12+U13+U14+U15+U16),'Period PSL data'!K10-U11,'PSL discount calculation'!T12-('PSL discount calculation'!U12+U13+U14+U15+U16)))</f>
        <v>0</v>
      </c>
      <c r="V17" s="168"/>
      <c r="W17" s="141">
        <f>IF(W12+W13+W14+W15+W16=V12,0,IF('Period PSL data'!L10-W11&lt;'PSL discount calculation'!V12-(W12+W13+W14+W15+W16),'Period PSL data'!L10-W11,'PSL discount calculation'!V12-('PSL discount calculation'!W12+W13+W14+W15+W16)))</f>
        <v>0</v>
      </c>
      <c r="X17" s="168"/>
      <c r="Y17" s="141">
        <f>IF(Y12+Y13+Y14+Y15+Y16=X12,0,IF('Period PSL data'!M10-Y11&lt;'PSL discount calculation'!X12-(Y12+Y13+Y14+Y15+Y16),'Period PSL data'!M10-Y11,'PSL discount calculation'!X12-('PSL discount calculation'!Y12+Y13+Y14+Y15+Y16)))</f>
        <v>0</v>
      </c>
      <c r="Z17" s="168"/>
      <c r="AA17" s="141">
        <f>IF(AA12+AA13+AA14+AA15+AA16=Z12,0,IF('Period PSL data'!N10-AA11&lt;'PSL discount calculation'!Z12-(AA12+AA13+AA14+AA15+AA16),'Period PSL data'!N10-AA11,'PSL discount calculation'!Z12-('PSL discount calculation'!AA12+AA13+AA14+AA15+AA16)))</f>
        <v>0</v>
      </c>
      <c r="AB17" s="168"/>
      <c r="AC17" s="141">
        <f>IF(AC12+AC13+AC14+AC15+AC16=AB12,0,IF('Period PSL data'!O10-AC11&lt;'PSL discount calculation'!AB12-(AC12+AC13+AC14+AC15+AC16),'Period PSL data'!O10-AC11,'PSL discount calculation'!AB12-('PSL discount calculation'!AC12+AC13+AC14+AC15+AC16)))</f>
        <v>0</v>
      </c>
      <c r="AD17" s="136">
        <f t="shared" si="1"/>
        <v>0</v>
      </c>
    </row>
    <row r="18" spans="1:30" x14ac:dyDescent="0.35">
      <c r="A18" s="131">
        <v>3</v>
      </c>
      <c r="B18" s="167">
        <f>'Annual data (rates, Bands, disc'!E5</f>
        <v>0.17</v>
      </c>
      <c r="C18" s="10" t="str">
        <f t="shared" si="2"/>
        <v>OV Single</v>
      </c>
      <c r="D18" s="11">
        <f t="shared" si="2"/>
        <v>65.900000000000006</v>
      </c>
      <c r="E18" s="11">
        <f>D18*$B$18</f>
        <v>11.203000000000001</v>
      </c>
      <c r="F18" s="80">
        <f>'Annual data (rates, Bands, disc'!I5/12</f>
        <v>126</v>
      </c>
      <c r="G18" s="134">
        <f>IF('Period PSL data'!D5-('PSL discount calculation'!G6+G12)&lt;0,0,IF('Period PSL data'!D5-('PSL discount calculation'!G6+G12)&gt;'PSL discount calculation'!F18,'PSL discount calculation'!F18,'Period PSL data'!D5-('PSL discount calculation'!G6+G12)))</f>
        <v>0</v>
      </c>
      <c r="H18" s="135">
        <f>(F18-(G18+G19+G20+G21+G22+G23))+F18</f>
        <v>252</v>
      </c>
      <c r="I18" s="134">
        <f>IF('Period PSL data'!E5-('PSL discount calculation'!I6+I12)&lt;0,0,IF('Period PSL data'!E5-('PSL discount calculation'!I6+I12)&gt;'PSL discount calculation'!H18,'PSL discount calculation'!H18,'Period PSL data'!E5-('PSL discount calculation'!I6+I12)))</f>
        <v>0</v>
      </c>
      <c r="J18" s="168">
        <f>(H18-(I18+I19+I20+I21+I22+I23))+F18</f>
        <v>378</v>
      </c>
      <c r="K18" s="134">
        <f>IF('Period PSL data'!F5-('PSL discount calculation'!K6+K12)&lt;0,0,IF('Period PSL data'!F5-('PSL discount calculation'!K6+K12)&gt;'PSL discount calculation'!J18,'PSL discount calculation'!J18,'Period PSL data'!F5-('PSL discount calculation'!K6+K12)))</f>
        <v>0</v>
      </c>
      <c r="L18" s="168">
        <f>(J18-(K18+K19+K20+K21+K22+K23))+F18</f>
        <v>504</v>
      </c>
      <c r="M18" s="134">
        <f>IF('Period PSL data'!G5-('PSL discount calculation'!M6+M12)&lt;0,0,IF('Period PSL data'!G5-('PSL discount calculation'!M6+M12)&gt;'PSL discount calculation'!L18,'PSL discount calculation'!L18,'Period PSL data'!G5-('PSL discount calculation'!M6+M12)))</f>
        <v>0</v>
      </c>
      <c r="N18" s="168">
        <f>(L18-(M18+M19+M20+M21+M22+M23))+F18</f>
        <v>630</v>
      </c>
      <c r="O18" s="134">
        <f>IF('Period PSL data'!H5-('PSL discount calculation'!O6+O12)&lt;0,0,IF('Period PSL data'!H5-('PSL discount calculation'!O6+O12)&gt;'PSL discount calculation'!N18,'PSL discount calculation'!N18,'Period PSL data'!H5-('PSL discount calculation'!O6+O12)))</f>
        <v>0</v>
      </c>
      <c r="P18" s="168">
        <f>(N18-(O18+O19+O20+O21+O22+O23))+F18</f>
        <v>756</v>
      </c>
      <c r="Q18" s="134">
        <f>IF('Period PSL data'!I5-('PSL discount calculation'!Q6+Q12)&lt;0,0,IF('Period PSL data'!I5-('PSL discount calculation'!Q6+Q12)&gt;'PSL discount calculation'!P18,'PSL discount calculation'!P18,'Period PSL data'!I5-('PSL discount calculation'!Q6+Q12)))</f>
        <v>0</v>
      </c>
      <c r="R18" s="168">
        <f>(P18-(Q18+Q19+Q20+Q21+Q22+Q23))+F18</f>
        <v>882</v>
      </c>
      <c r="S18" s="134">
        <f>IF('Period PSL data'!J5-('PSL discount calculation'!S6+S12)&lt;0,0,IF('Period PSL data'!J5-('PSL discount calculation'!S6+S12)&gt;'PSL discount calculation'!R18,'PSL discount calculation'!R18,'Period PSL data'!J5-('PSL discount calculation'!S6+S12)))</f>
        <v>0</v>
      </c>
      <c r="T18" s="168">
        <f>(R18-(S18+S19+S20+S21+S22+S23))+F18</f>
        <v>1008</v>
      </c>
      <c r="U18" s="134">
        <f>IF('Period PSL data'!K5-('PSL discount calculation'!U6+U12)&lt;0,0,IF('Period PSL data'!K5-('PSL discount calculation'!U6+U12)&gt;'PSL discount calculation'!T18,'PSL discount calculation'!T18,'Period PSL data'!K5-('PSL discount calculation'!U6+U12)))</f>
        <v>0</v>
      </c>
      <c r="V18" s="168">
        <f>(T18-(U18+U19+U20+U21+U22+U23))+F18</f>
        <v>1134</v>
      </c>
      <c r="W18" s="134">
        <f>IF('Period PSL data'!L5-('PSL discount calculation'!W6+W12)&lt;0,0,IF('Period PSL data'!L5-('PSL discount calculation'!W6+W12)&gt;'PSL discount calculation'!V18,'PSL discount calculation'!V18,'Period PSL data'!L5-('PSL discount calculation'!W6+W12)))</f>
        <v>0</v>
      </c>
      <c r="X18" s="168">
        <f>(V18-(W18+W19+W20+W21+W22+W23))+F18</f>
        <v>1260</v>
      </c>
      <c r="Y18" s="134">
        <f>IF('Period PSL data'!M5-('PSL discount calculation'!Y6+Y12)&lt;0,0,IF('Period PSL data'!M5-('PSL discount calculation'!Y6+Y12)&gt;'PSL discount calculation'!X18,'PSL discount calculation'!X18,'Period PSL data'!M5-('PSL discount calculation'!Y6+Y12)))</f>
        <v>0</v>
      </c>
      <c r="Z18" s="168">
        <f>(X18-(Y18+Y19+Y20+Y21+Y22+Y23))+F18</f>
        <v>1386</v>
      </c>
      <c r="AA18" s="134">
        <f>IF('Period PSL data'!N5-('PSL discount calculation'!AA6+AA12)&lt;0,0,IF('Period PSL data'!N5-('PSL discount calculation'!AA6+AA12)&gt;'PSL discount calculation'!Z18,'PSL discount calculation'!Z18,'Period PSL data'!N5-('PSL discount calculation'!AA6+AA12)))</f>
        <v>0</v>
      </c>
      <c r="AB18" s="168">
        <f>(Z18-(AA18+AA19+AA20+AA21+AA22+AA23))+F18</f>
        <v>1512</v>
      </c>
      <c r="AC18" s="134">
        <f>IF('Period PSL data'!O5-('PSL discount calculation'!AC6+AC12)&lt;0,0,IF('Period PSL data'!O5-('PSL discount calculation'!AC6+AC12)&gt;'PSL discount calculation'!AB18,'PSL discount calculation'!AB18,'Period PSL data'!O5-('PSL discount calculation'!AC6+AC12)))</f>
        <v>0</v>
      </c>
      <c r="AD18" s="136">
        <f t="shared" si="1"/>
        <v>0</v>
      </c>
    </row>
    <row r="19" spans="1:30" x14ac:dyDescent="0.35">
      <c r="A19" s="131"/>
      <c r="B19" s="156"/>
      <c r="C19" s="10" t="str">
        <f t="shared" si="2"/>
        <v>OV 1.5</v>
      </c>
      <c r="D19" s="11">
        <f t="shared" si="2"/>
        <v>98.850000000000009</v>
      </c>
      <c r="E19" s="11">
        <f t="shared" ref="E19:E23" si="4">D19*$B$18</f>
        <v>16.804500000000004</v>
      </c>
      <c r="F19" s="168"/>
      <c r="G19" s="137">
        <f>IF(G18=F18,0,IF('Period PSL data'!D6-G13-G7&lt;'PSL discount calculation'!F18-G18,'Period PSL data'!D6-G13-G7,'PSL discount calculation'!F18-'PSL discount calculation'!G18))</f>
        <v>0</v>
      </c>
      <c r="H19" s="168"/>
      <c r="I19" s="137">
        <f>IF(I18=H18,0,IF('Period PSL data'!E6-I13-I7&lt;'PSL discount calculation'!H18-I18,'Period PSL data'!E6-I13-I7,'PSL discount calculation'!H18-'PSL discount calculation'!I18))</f>
        <v>0</v>
      </c>
      <c r="J19" s="168"/>
      <c r="K19" s="137">
        <f>IF(K18=J18,0,IF('Period PSL data'!F6-(K13+K7)&lt;'PSL discount calculation'!J18-K18,'Period PSL data'!F6-(K13+K7),'PSL discount calculation'!J18-'PSL discount calculation'!K18))</f>
        <v>0</v>
      </c>
      <c r="L19" s="168"/>
      <c r="M19" s="137">
        <f>IF(M18=L18,0,IF('Period PSL data'!G6-(M13+M7)&lt;'PSL discount calculation'!L18-M18,'Period PSL data'!G6-(M13+M7),'PSL discount calculation'!L18-'PSL discount calculation'!M18))</f>
        <v>0</v>
      </c>
      <c r="N19" s="168"/>
      <c r="O19" s="137">
        <f>IF(O18=N18,0,IF('Period PSL data'!H6-O13-O7&lt;'PSL discount calculation'!N18-O18,'Period PSL data'!H6-O13-O7,'PSL discount calculation'!N18-'PSL discount calculation'!O18))</f>
        <v>0</v>
      </c>
      <c r="P19" s="168"/>
      <c r="Q19" s="137">
        <f>IF(Q18=P18,0,IF('Period PSL data'!I6-Q13-Q7&lt;'PSL discount calculation'!P18-Q18,'Period PSL data'!I6-Q13-Q7,'PSL discount calculation'!P18-'PSL discount calculation'!Q18))</f>
        <v>0</v>
      </c>
      <c r="R19" s="168"/>
      <c r="S19" s="137">
        <f>IF(S18=R18,0,IF('Period PSL data'!J6-S13-S7&lt;'PSL discount calculation'!R18-S18,'Period PSL data'!J6-S13-S7,'PSL discount calculation'!R18-'PSL discount calculation'!S18))</f>
        <v>0</v>
      </c>
      <c r="T19" s="168"/>
      <c r="U19" s="137">
        <f>IF(U18=T18,0,IF('Period PSL data'!K6-U13-U7&lt;'PSL discount calculation'!T18-U18,'Period PSL data'!K6-U13-U7,'PSL discount calculation'!T18-'PSL discount calculation'!U18))</f>
        <v>0</v>
      </c>
      <c r="V19" s="168"/>
      <c r="W19" s="137">
        <f>IF(W18=V18,0,IF('Period PSL data'!L6-W13-W7&lt;'PSL discount calculation'!V18-W18,'Period PSL data'!L6-W13-W7,'PSL discount calculation'!V18-'PSL discount calculation'!W18))</f>
        <v>0</v>
      </c>
      <c r="X19" s="168"/>
      <c r="Y19" s="137">
        <f>IF(Y18=X18,0,IF('Period PSL data'!M6-Y13-Y7&lt;'PSL discount calculation'!X18-Y18,'Period PSL data'!M6-Y13-Y7,'PSL discount calculation'!X18-'PSL discount calculation'!Y18))</f>
        <v>0</v>
      </c>
      <c r="Z19" s="168"/>
      <c r="AA19" s="137">
        <f>IF(AA18=Z18,0,IF('Period PSL data'!N6-AA13-AA7&lt;'PSL discount calculation'!Z18-AA18,'Period PSL data'!N6-AA13-AA7,'PSL discount calculation'!Z18-'PSL discount calculation'!AA18))</f>
        <v>0</v>
      </c>
      <c r="AB19" s="168"/>
      <c r="AC19" s="137">
        <f>IF(AC18=AB18,0,IF('Period PSL data'!O6-AC13-AC7&lt;'PSL discount calculation'!AB18-AC18,'Period PSL data'!O6-AC13-AC7,'PSL discount calculation'!AB18-'PSL discount calculation'!AC18))</f>
        <v>0</v>
      </c>
      <c r="AD19" s="136">
        <f t="shared" si="1"/>
        <v>0</v>
      </c>
    </row>
    <row r="20" spans="1:30" x14ac:dyDescent="0.35">
      <c r="A20" s="131"/>
      <c r="B20" s="156"/>
      <c r="C20" s="10" t="str">
        <f t="shared" si="2"/>
        <v>OV Dbl</v>
      </c>
      <c r="D20" s="11">
        <f t="shared" si="2"/>
        <v>131.80000000000001</v>
      </c>
      <c r="E20" s="11">
        <f t="shared" si="4"/>
        <v>22.406000000000002</v>
      </c>
      <c r="F20" s="168"/>
      <c r="G20" s="138">
        <f>IF(G18+G19=F18,0,IF('Period PSL data'!D7-(G8+G14)&lt;'PSL discount calculation'!F18-(G18+G19),'Period PSL data'!D7-G8-G14,'PSL discount calculation'!F18-('PSL discount calculation'!G18+G19)))</f>
        <v>0</v>
      </c>
      <c r="H20" s="168"/>
      <c r="I20" s="138">
        <f>IF(I18+I19=H18,0,IF('Period PSL data'!E7-(I8+I14)&lt;'PSL discount calculation'!H18-(I18+I19),'Period PSL data'!E7-I8-I14,'PSL discount calculation'!H18-('PSL discount calculation'!I18+I19)))</f>
        <v>0</v>
      </c>
      <c r="J20" s="168"/>
      <c r="K20" s="138">
        <f>IF(K18+K19=J18,0,IF('Period PSL data'!F7-(K8+K14)&lt;'PSL discount calculation'!J18-(K18+K19),'Period PSL data'!F7-(K8+K14),'PSL discount calculation'!J18-('PSL discount calculation'!K18+K19)))</f>
        <v>0</v>
      </c>
      <c r="L20" s="168"/>
      <c r="M20" s="138">
        <f>IF(M18+M19=L18,0,IF('Period PSL data'!G7-(M8+M14)&lt;'PSL discount calculation'!L18-(M18+M19),'Period PSL data'!G7-(M8+M14),'PSL discount calculation'!L18-('PSL discount calculation'!M18+M19)))</f>
        <v>0</v>
      </c>
      <c r="N20" s="168"/>
      <c r="O20" s="138">
        <f>IF(O18+O19=N18,0,IF('Period PSL data'!H7-(O8+O14)&lt;'PSL discount calculation'!N18-(O18+O19),'Period PSL data'!H7-O8-O14,'PSL discount calculation'!N18-('PSL discount calculation'!O18+O19)))</f>
        <v>0</v>
      </c>
      <c r="P20" s="168"/>
      <c r="Q20" s="138">
        <f>IF(Q18+Q19=P18,0,IF('Period PSL data'!I7-(Q8+Q14)&lt;'PSL discount calculation'!P18-(Q18+Q19),'Period PSL data'!I7-Q8-Q14,'PSL discount calculation'!P18-('PSL discount calculation'!Q18+Q19)))</f>
        <v>0</v>
      </c>
      <c r="R20" s="168"/>
      <c r="S20" s="138">
        <f>IF(S18+S19=R18,0,IF('Period PSL data'!J7-(S8+S14)&lt;'PSL discount calculation'!R18-(S18+S19),'Period PSL data'!J7-S8-S14,'PSL discount calculation'!R18-('PSL discount calculation'!S18+S19)))</f>
        <v>0</v>
      </c>
      <c r="T20" s="168"/>
      <c r="U20" s="138">
        <f>IF(U18+U19=T18,0,IF('Period PSL data'!K7-(U8+U14)&lt;'PSL discount calculation'!T18-(U18+U19),'Period PSL data'!K7-U8-U14,'PSL discount calculation'!T18-('PSL discount calculation'!U18+U19)))</f>
        <v>0</v>
      </c>
      <c r="V20" s="168"/>
      <c r="W20" s="138">
        <f>IF(W18+W19=V18,0,IF('Period PSL data'!L7-(W8+W14)&lt;'PSL discount calculation'!V18-(W18+W19),'Period PSL data'!L7-W8-W14,'PSL discount calculation'!V18-('PSL discount calculation'!W18+W19)))</f>
        <v>0</v>
      </c>
      <c r="X20" s="168"/>
      <c r="Y20" s="138">
        <f>IF(Y18+Y19=X18,0,IF('Period PSL data'!M7-(Y8+Y14)&lt;'PSL discount calculation'!X18-(Y18+Y19),'Period PSL data'!M7-Y8-Y14,'PSL discount calculation'!X18-('PSL discount calculation'!Y18+Y19)))</f>
        <v>0</v>
      </c>
      <c r="Z20" s="168"/>
      <c r="AA20" s="138">
        <f>IF(AA18+AA19=Z18,0,IF('Period PSL data'!N7-(AA8+AA14)&lt;'PSL discount calculation'!Z18-(AA18+AA19),'Period PSL data'!N7-AA8-AA14,'PSL discount calculation'!Z18-('PSL discount calculation'!AA18+AA19)))</f>
        <v>0</v>
      </c>
      <c r="AB20" s="168"/>
      <c r="AC20" s="138">
        <f>IF(AC18+AC19=AB18,0,IF('Period PSL data'!O7-(AC8+AC14)&lt;'PSL discount calculation'!AB18-(AC18+AC19),'Period PSL data'!O7-AC8-AC14,'PSL discount calculation'!AB18-('PSL discount calculation'!AC18+AC19)))</f>
        <v>0</v>
      </c>
      <c r="AD20" s="136">
        <f t="shared" si="1"/>
        <v>0</v>
      </c>
    </row>
    <row r="21" spans="1:30" x14ac:dyDescent="0.35">
      <c r="A21" s="131"/>
      <c r="B21" s="156"/>
      <c r="C21" s="10" t="str">
        <f t="shared" si="2"/>
        <v>SMI Single</v>
      </c>
      <c r="D21" s="11">
        <f t="shared" si="2"/>
        <v>43.2</v>
      </c>
      <c r="E21" s="11">
        <f t="shared" si="4"/>
        <v>7.3440000000000012</v>
      </c>
      <c r="F21" s="168"/>
      <c r="G21" s="139">
        <f>IF(G18+G19+G20=F18,0,IF('Period PSL data'!D8-(G9+G15)&lt;'PSL discount calculation'!F18-(G18+G19+G20),'Period PSL data'!D8-(G9+G15),'PSL discount calculation'!F18-('PSL discount calculation'!G18+G19+G20)))</f>
        <v>0</v>
      </c>
      <c r="H21" s="168"/>
      <c r="I21" s="139">
        <f>IF(I18+I19+I20=H18,0,IF('Period PSL data'!E8-(I9+I15)&lt;'PSL discount calculation'!H18-(I18+I19+I20),'Period PSL data'!E8-(I9+I15),'PSL discount calculation'!H18-('PSL discount calculation'!I18+I19+I20)))</f>
        <v>0</v>
      </c>
      <c r="J21" s="168"/>
      <c r="K21" s="139">
        <f>IF(K18+K19+K20=J18,0,IF('Period PSL data'!F8-(K9+K15)&lt;'PSL discount calculation'!J18-(K18+K19+K20),'Period PSL data'!F8-(K9+K15),'PSL discount calculation'!J18-('PSL discount calculation'!K18+K19+K20)))</f>
        <v>0</v>
      </c>
      <c r="L21" s="168"/>
      <c r="M21" s="139">
        <f>IF(M18+M19+M20=L18,0,IF('Period PSL data'!G8-(M9+M15)&lt;'PSL discount calculation'!L18-(M18+M19+M20),'Period PSL data'!G8-(M9+M15),'PSL discount calculation'!L18-('PSL discount calculation'!M18+M19+M20)))</f>
        <v>0</v>
      </c>
      <c r="N21" s="168"/>
      <c r="O21" s="139">
        <f>IF(O18+O19+O20=N18,0,IF('Period PSL data'!H8-(O9+O15)&lt;'PSL discount calculation'!N18-(O18+O19+O20),'Period PSL data'!H8-(O9+O15),'PSL discount calculation'!N18-('PSL discount calculation'!O18+O19+O20)))</f>
        <v>0</v>
      </c>
      <c r="P21" s="168"/>
      <c r="Q21" s="139">
        <f>IF(Q18+Q19+Q20=P18,0,IF('Period PSL data'!I8-(Q9+Q15)&lt;'PSL discount calculation'!P18-(Q18+Q19+Q20),'Period PSL data'!I8-(Q9+Q15),'PSL discount calculation'!P18-('PSL discount calculation'!Q18+Q19+Q20)))</f>
        <v>0</v>
      </c>
      <c r="R21" s="168"/>
      <c r="S21" s="139">
        <f>IF(S18+S19+S20=R18,0,IF('Period PSL data'!J8-(S9+S15)&lt;'PSL discount calculation'!R18-(S18+S19+S20),'Period PSL data'!J8-(S9+S15),'PSL discount calculation'!R18-('PSL discount calculation'!S18+S19+S20)))</f>
        <v>0</v>
      </c>
      <c r="T21" s="168"/>
      <c r="U21" s="139">
        <f>IF(U18+U19+U20=T18,0,IF('Period PSL data'!K8-(U9+U15)&lt;'PSL discount calculation'!T18-(U18+U19+U20),'Period PSL data'!K8-(U9+U15),'PSL discount calculation'!T18-('PSL discount calculation'!U18+U19+U20)))</f>
        <v>0</v>
      </c>
      <c r="V21" s="168"/>
      <c r="W21" s="139">
        <f>IF(W18+W19+W20=V18,0,IF('Period PSL data'!L8-(W9+W15)&lt;'PSL discount calculation'!V18-(W18+W19+W20),'Period PSL data'!L8-(W9+W15),'PSL discount calculation'!V18-('PSL discount calculation'!W18+W19+W20)))</f>
        <v>0</v>
      </c>
      <c r="X21" s="168"/>
      <c r="Y21" s="139">
        <f>IF(Y18+Y19+Y20=X18,0,IF('Period PSL data'!M8-(Y9+Y15)&lt;'PSL discount calculation'!X18-(Y18+Y19+Y20),'Period PSL data'!M8-(Y9+Y15),'PSL discount calculation'!X18-('PSL discount calculation'!Y18+Y19+Y20)))</f>
        <v>0</v>
      </c>
      <c r="Z21" s="168"/>
      <c r="AA21" s="139">
        <f>IF(AA18+AA19+AA20=Z18,0,IF('Period PSL data'!N8-(AA9+AA15)&lt;'PSL discount calculation'!Z18-(AA18+AA19+AA20),'Period PSL data'!N8-(AA9+AA15),'PSL discount calculation'!Z18-('PSL discount calculation'!AA18+AA19+AA20)))</f>
        <v>0</v>
      </c>
      <c r="AB21" s="168"/>
      <c r="AC21" s="139">
        <f>IF(AC18+AC19+AC20=AB18,0,IF('Period PSL data'!O8-(AC9+AC15)&lt;'PSL discount calculation'!AB18-(AC18+AC19+AC20),'Period PSL data'!O8-(AC9+AC15),'PSL discount calculation'!AB18-('PSL discount calculation'!AC18+AC19+AC20)))</f>
        <v>0</v>
      </c>
      <c r="AD21" s="136">
        <f t="shared" si="1"/>
        <v>0</v>
      </c>
    </row>
    <row r="22" spans="1:30" x14ac:dyDescent="0.35">
      <c r="A22" s="131"/>
      <c r="B22" s="156"/>
      <c r="C22" s="10" t="str">
        <f t="shared" si="2"/>
        <v>SMI 1.5</v>
      </c>
      <c r="D22" s="11">
        <f t="shared" si="2"/>
        <v>64.800000000000011</v>
      </c>
      <c r="E22" s="11">
        <f t="shared" si="4"/>
        <v>11.016000000000004</v>
      </c>
      <c r="F22" s="168"/>
      <c r="G22" s="140">
        <f>IF(G18+G19+G20+G21=F18,0,IF('Period PSL data'!D9-(G10+G16)&lt;'PSL discount calculation'!F18-(G18+G19+G20+G21),'Period PSL data'!D9-(G10+G16),'PSL discount calculation'!F18-('PSL discount calculation'!G18+G19+G20+G21)))</f>
        <v>0</v>
      </c>
      <c r="H22" s="168"/>
      <c r="I22" s="140">
        <f>IF(I18+I19+I20+I21=H18,0,IF('Period PSL data'!E9-(I10+I16)&lt;'PSL discount calculation'!H18-(I18+I19+I20+I21),'Period PSL data'!E9-(I10+I16),'PSL discount calculation'!H18-('PSL discount calculation'!I18+I19+I20+I21)))</f>
        <v>0</v>
      </c>
      <c r="J22" s="168"/>
      <c r="K22" s="140">
        <f>IF(K18+K19+K20+K21=J18,0,IF('Period PSL data'!F9-(K10+K16)&lt;'PSL discount calculation'!J18-(K18+K19+K20+K21),'Period PSL data'!F9-(K10+K16),'PSL discount calculation'!J18-('PSL discount calculation'!K18+K19+K20+K21)))</f>
        <v>0</v>
      </c>
      <c r="L22" s="168"/>
      <c r="M22" s="140">
        <f>IF(M18+M19+M20+M21=L18,0,IF('Period PSL data'!G9-(M10+M16)&lt;'PSL discount calculation'!L18-(M18+M19+M20+M21),'Period PSL data'!G9-(M10+M16),'PSL discount calculation'!L18-('PSL discount calculation'!M18+M19+M20+M21)))</f>
        <v>0</v>
      </c>
      <c r="N22" s="168"/>
      <c r="O22" s="140">
        <f>IF(O18+O19+O20+O21=N18,0,IF('Period PSL data'!H9-(O10+O16)&lt;'PSL discount calculation'!N18-(O18+O19+O20+O21),'Period PSL data'!H9-(O10+O16),'PSL discount calculation'!N18-('PSL discount calculation'!O18+O19+O20+O21)))</f>
        <v>0</v>
      </c>
      <c r="P22" s="168"/>
      <c r="Q22" s="140">
        <f>IF(Q18+Q19+Q20+Q21=P18,0,IF('Period PSL data'!I9-(Q10+Q16)&lt;'PSL discount calculation'!P18-(Q18+Q19+Q20+Q21),'Period PSL data'!I9-(Q10+Q16),'PSL discount calculation'!P18-('PSL discount calculation'!Q18+Q19+Q20+Q21)))</f>
        <v>0</v>
      </c>
      <c r="R22" s="168"/>
      <c r="S22" s="140">
        <f>IF(S18+S19+S20+S21=R18,0,IF('Period PSL data'!J9-(S10+S16)&lt;'PSL discount calculation'!R18-(S18+S19+S20+S21),'Period PSL data'!J9-(S10+S16),'PSL discount calculation'!R18-('PSL discount calculation'!S18+S19+S20+S21)))</f>
        <v>0</v>
      </c>
      <c r="T22" s="168"/>
      <c r="U22" s="140">
        <f>IF(U18+U19+U20+U21=T18,0,IF('Period PSL data'!K9-(U10+U16)&lt;'PSL discount calculation'!T18-(U18+U19+U20+U21),'Period PSL data'!K9-(U10+U16),'PSL discount calculation'!T18-('PSL discount calculation'!U18+U19+U20+U21)))</f>
        <v>0</v>
      </c>
      <c r="V22" s="168"/>
      <c r="W22" s="140">
        <f>IF(W18+W19+W20+W21=V18,0,IF('Period PSL data'!L9-(W10+W16)&lt;'PSL discount calculation'!V18-(W18+W19+W20+W21),'Period PSL data'!L9-(W10+W16),'PSL discount calculation'!V18-('PSL discount calculation'!W18+W19+W20+W21)))</f>
        <v>0</v>
      </c>
      <c r="X22" s="168"/>
      <c r="Y22" s="140">
        <f>IF(Y18+Y19+Y20+Y21=X18,0,IF('Period PSL data'!M9-(Y10+Y16)&lt;'PSL discount calculation'!X18-(Y18+Y19+Y20+Y21),'Period PSL data'!M9-(Y10+Y16),'PSL discount calculation'!X18-('PSL discount calculation'!Y18+Y19+Y20+Y21)))</f>
        <v>0</v>
      </c>
      <c r="Z22" s="168"/>
      <c r="AA22" s="140">
        <f>IF(AA18+AA19+AA20+AA21=Z18,0,IF('Period PSL data'!N9-(AA10+AA16)&lt;'PSL discount calculation'!Z18-(AA18+AA19+AA20+AA21),'Period PSL data'!N9-(AA10+AA16),'PSL discount calculation'!Z18-('PSL discount calculation'!AA18+AA19+AA20+AA21)))</f>
        <v>0</v>
      </c>
      <c r="AB22" s="168"/>
      <c r="AC22" s="140">
        <f>IF(AC18+AC19+AC20+AC21=AB18,0,IF('Period PSL data'!O9-(AC10+AC16)&lt;'PSL discount calculation'!AB18-(AC18+AC19+AC20+AC21),'Period PSL data'!O9-(AC10+AC16),'PSL discount calculation'!AB18-('PSL discount calculation'!AC18+AC19+AC20+AC21)))</f>
        <v>0</v>
      </c>
      <c r="AD22" s="136">
        <f t="shared" si="1"/>
        <v>0</v>
      </c>
    </row>
    <row r="23" spans="1:30" x14ac:dyDescent="0.35">
      <c r="A23" s="131"/>
      <c r="B23" s="156"/>
      <c r="C23" s="10" t="str">
        <f t="shared" si="2"/>
        <v>SMI Dbl</v>
      </c>
      <c r="D23" s="11">
        <f t="shared" si="2"/>
        <v>86.4</v>
      </c>
      <c r="E23" s="11">
        <f t="shared" si="4"/>
        <v>14.688000000000002</v>
      </c>
      <c r="F23" s="168"/>
      <c r="G23" s="141">
        <f>IF(G18+G19+G20+G21+G22=F18,0,IF('Period PSL data'!D10-(G11+G17)&lt;'PSL discount calculation'!F18-(G18+G19+G20+G21+G22),'Period PSL data'!D10-(G11+G17),'PSL discount calculation'!F18-('PSL discount calculation'!G18+G19+G20+G21+G22)))</f>
        <v>0</v>
      </c>
      <c r="H23" s="168"/>
      <c r="I23" s="141">
        <f>IF(I18+I19+I20+I21+I22=H18,0,IF('Period PSL data'!E10-(I11+I17)&lt;'PSL discount calculation'!H18-(I18+I19+I20+I21+I22),'Period PSL data'!E10-(I11+I17),'PSL discount calculation'!H18-('PSL discount calculation'!I18+I19+I20+I21+I22)))</f>
        <v>0</v>
      </c>
      <c r="J23" s="168"/>
      <c r="K23" s="141">
        <f>IF(K18+K19+K20+K21+K22=J18,0,IF('Period PSL data'!F10-(K11+K17)&lt;'PSL discount calculation'!J18-(K18+K19+K20+K21+K22),'Period PSL data'!F10-(K11+K17),'PSL discount calculation'!J18-('PSL discount calculation'!K18+K19+K20+K21+K22)))</f>
        <v>0</v>
      </c>
      <c r="L23" s="168"/>
      <c r="M23" s="141">
        <f>IF(M18+M19+M20+M21+M22=L18,0,IF('Period PSL data'!G10-(M11+M17)&lt;'PSL discount calculation'!L18-(M18+M19+M20+M21+M22),'Period PSL data'!G10-(M11+M17),'PSL discount calculation'!L18-('PSL discount calculation'!M18+M19+M20+M21+M22)))</f>
        <v>0</v>
      </c>
      <c r="N23" s="168"/>
      <c r="O23" s="141">
        <f>IF(O18+O19+O20+O21+O22=N18,0,IF('Period PSL data'!H10-(O11+O17)&lt;'PSL discount calculation'!N18-(O18+O19+O20+O21+O22),'Period PSL data'!H10-(O11+O17),'PSL discount calculation'!N18-('PSL discount calculation'!O18+O19+O20+O21+O22)))</f>
        <v>0</v>
      </c>
      <c r="P23" s="168"/>
      <c r="Q23" s="141">
        <f>IF(Q18+Q19+Q20+Q21+Q22=P18,0,IF('Period PSL data'!I10-(Q11+Q17)&lt;'PSL discount calculation'!P18-(Q18+Q19+Q20+Q21+Q22),'Period PSL data'!I10-(Q11+Q17),'PSL discount calculation'!P18-('PSL discount calculation'!Q18+Q19+Q20+Q21+Q22)))</f>
        <v>0</v>
      </c>
      <c r="R23" s="168"/>
      <c r="S23" s="141">
        <f>IF(S18+S19+S20+S21+S22=R18,0,IF('Period PSL data'!J10-(S11+S17)&lt;'PSL discount calculation'!R18-(S18+S19+S20+S21+S22),'Period PSL data'!J10-(S11+S17),'PSL discount calculation'!R18-('PSL discount calculation'!S18+S19+S20+S21+S22)))</f>
        <v>0</v>
      </c>
      <c r="T23" s="168"/>
      <c r="U23" s="141">
        <f>IF(U18+U19+U20+U21+U22=T18,0,IF('Period PSL data'!K10-(U11+U17)&lt;'PSL discount calculation'!T18-(U18+U19+U20+U21+U22),'Period PSL data'!K10-(U11+U17),'PSL discount calculation'!T18-('PSL discount calculation'!U18+U19+U20+U21+U22)))</f>
        <v>0</v>
      </c>
      <c r="V23" s="168"/>
      <c r="W23" s="141">
        <f>IF(W18+W19+W20+W21+W22=V18,0,IF('Period PSL data'!L10-(W11+W17)&lt;'PSL discount calculation'!V18-(W18+W19+W20+W21+W22),'Period PSL data'!L10-(W11+W17),'PSL discount calculation'!V18-('PSL discount calculation'!W18+W19+W20+W21+W22)))</f>
        <v>0</v>
      </c>
      <c r="X23" s="168"/>
      <c r="Y23" s="141">
        <f>IF(Y18+Y19+Y20+Y21+Y22=X18,0,IF('Period PSL data'!M10-(Y11+Y17)&lt;'PSL discount calculation'!X18-(Y18+Y19+Y20+Y21+Y22),'Period PSL data'!M10-(Y11+Y17),'PSL discount calculation'!X18-('PSL discount calculation'!Y18+Y19+Y20+Y21+Y22)))</f>
        <v>0</v>
      </c>
      <c r="Z23" s="168"/>
      <c r="AA23" s="141">
        <f>IF(AA18+AA19+AA20+AA21+AA22=Z18,0,IF('Period PSL data'!N10-(AA11+AA17)&lt;'PSL discount calculation'!Z18-(AA18+AA19+AA20+AA21+AA22),'Period PSL data'!N10-(AA11+AA17),'PSL discount calculation'!Z18-('PSL discount calculation'!AA18+AA19+AA20+AA21+AA22)))</f>
        <v>0</v>
      </c>
      <c r="AB23" s="168"/>
      <c r="AC23" s="141">
        <f>IF(AC18+AC19+AC20+AC21+AC22=AB18,0,IF('Period PSL data'!O10-(AC11+AC17)&lt;'PSL discount calculation'!AB18-(AC18+AC19+AC20+AC21+AC22),'Period PSL data'!O10-(AC11+AC17),'PSL discount calculation'!AB18-('PSL discount calculation'!AC18+AC19+AC20+AC21+AC22)))</f>
        <v>0</v>
      </c>
      <c r="AD23" s="136">
        <f t="shared" si="1"/>
        <v>0</v>
      </c>
    </row>
    <row r="24" spans="1:30" x14ac:dyDescent="0.35">
      <c r="A24" s="131">
        <v>4</v>
      </c>
      <c r="B24" s="167">
        <f>'Annual data (rates, Bands, disc'!E6</f>
        <v>0.06</v>
      </c>
      <c r="C24" s="10" t="str">
        <f t="shared" si="2"/>
        <v>OV Single</v>
      </c>
      <c r="D24" s="11">
        <f t="shared" si="2"/>
        <v>65.900000000000006</v>
      </c>
      <c r="E24" s="11">
        <f>D24*$B$24</f>
        <v>3.9540000000000002</v>
      </c>
      <c r="F24" s="80">
        <f>'Annual data (rates, Bands, disc'!I6/12</f>
        <v>283.25</v>
      </c>
      <c r="G24" s="134">
        <f>IF('Period PSL data'!D5-('PSL discount calculation'!G6+G12+G18)&lt;0,0,IF('Period PSL data'!D5-('PSL discount calculation'!G6+G12+G18)&gt;'PSL discount calculation'!F24,'PSL discount calculation'!F24,'Period PSL data'!D5-('PSL discount calculation'!G6+G12+G18)))</f>
        <v>0</v>
      </c>
      <c r="H24" s="135">
        <f>(F24-(G24+G25+G26+G27+G28+G29))+F24</f>
        <v>566.5</v>
      </c>
      <c r="I24" s="134">
        <f>IF('Period PSL data'!E5-('PSL discount calculation'!I6+I12+I18)&lt;0,0,IF('Period PSL data'!E5-('PSL discount calculation'!I6+I12+I18)&gt;'PSL discount calculation'!H24,'PSL discount calculation'!H24,'Period PSL data'!E5-('PSL discount calculation'!I6+I12+I18)))</f>
        <v>0</v>
      </c>
      <c r="J24" s="168">
        <f>(H24-(I24+I25+I26+I27+I28+I29))+F24</f>
        <v>849.75</v>
      </c>
      <c r="K24" s="134">
        <f>IF('Period PSL data'!F5-('PSL discount calculation'!K6+K12+K18)&lt;0,0,IF('Period PSL data'!F5-('PSL discount calculation'!K6+K12+K18)&gt;'PSL discount calculation'!J24,'PSL discount calculation'!J24,'Period PSL data'!F5-('PSL discount calculation'!K6+K12+K18)))</f>
        <v>0</v>
      </c>
      <c r="L24" s="168">
        <f>(J24-(K24+K25+K26+K27+K28+K29))+F24</f>
        <v>1133</v>
      </c>
      <c r="M24" s="134">
        <f>IF('Period PSL data'!G5-('PSL discount calculation'!M6+M12+M18)&lt;0,0,IF('Period PSL data'!G5-('PSL discount calculation'!M6+M12+M18)&gt;'PSL discount calculation'!L24,'PSL discount calculation'!L24,'Period PSL data'!G5-('PSL discount calculation'!M6+M12+M18)))</f>
        <v>0</v>
      </c>
      <c r="N24" s="168">
        <f>(L24-(M24+M25+M26+M27+M28+M29))+F24</f>
        <v>1416.25</v>
      </c>
      <c r="O24" s="134">
        <f>IF('Period PSL data'!H5-('PSL discount calculation'!O6+O12+O18)&lt;0,0,IF('Period PSL data'!H5-('PSL discount calculation'!O6+O12+O18)&gt;'PSL discount calculation'!N24,'PSL discount calculation'!N24,'Period PSL data'!H5-('PSL discount calculation'!O6+O12+O18)))</f>
        <v>0</v>
      </c>
      <c r="P24" s="168">
        <f>(N24-(O24+O25+O26+O27+O28+O29))+F24</f>
        <v>1699.5</v>
      </c>
      <c r="Q24" s="134">
        <f>IF('Period PSL data'!I5-('PSL discount calculation'!Q6+Q12+Q18)&lt;0,0,IF('Period PSL data'!I5-('PSL discount calculation'!Q6+Q12+Q18)&gt;'PSL discount calculation'!P24,'PSL discount calculation'!P24,'Period PSL data'!I5-('PSL discount calculation'!Q6+Q12+Q18)))</f>
        <v>0</v>
      </c>
      <c r="R24" s="168">
        <f>(P24-(Q24+Q25+Q26+Q27+Q28+Q29))+F24</f>
        <v>1982.75</v>
      </c>
      <c r="S24" s="134">
        <f>IF('Period PSL data'!J5-('PSL discount calculation'!S6+S12+S18)&lt;0,0,IF('Period PSL data'!J5-('PSL discount calculation'!S6+S12+S18)&gt;'PSL discount calculation'!R24,'PSL discount calculation'!R24,'Period PSL data'!J5-('PSL discount calculation'!S6+S12+S18)))</f>
        <v>0</v>
      </c>
      <c r="T24" s="168">
        <f>(R24-(S24+S25+S26+S27+S28+S29))+F24</f>
        <v>2266</v>
      </c>
      <c r="U24" s="134">
        <f>IF('Period PSL data'!K5-('PSL discount calculation'!U6+U12+U18)&lt;0,0,IF('Period PSL data'!K5-('PSL discount calculation'!U6+U12+U18)&gt;'PSL discount calculation'!T24,'PSL discount calculation'!T24,'Period PSL data'!K5-('PSL discount calculation'!U6+U12+U18)))</f>
        <v>0</v>
      </c>
      <c r="V24" s="168">
        <f>(T24-(U24+U25+U26+U27+U28+U29))+F24</f>
        <v>2549.25</v>
      </c>
      <c r="W24" s="134">
        <f>IF('Period PSL data'!L5-('PSL discount calculation'!W6+W12+W18)&lt;0,0,IF('Period PSL data'!L5-('PSL discount calculation'!W6+W12+W18)&gt;'PSL discount calculation'!V24,'PSL discount calculation'!V24,'Period PSL data'!L5-('PSL discount calculation'!W6+W12+W18)))</f>
        <v>0</v>
      </c>
      <c r="X24" s="168">
        <f>(V24-(W24+W25+W26+W27+W28+W29))+F24</f>
        <v>2832.5</v>
      </c>
      <c r="Y24" s="134">
        <f>IF('Period PSL data'!M5-('PSL discount calculation'!Y6+Y12+Y18)&lt;0,0,IF('Period PSL data'!M5-('PSL discount calculation'!Y6+Y12+Y18)&gt;'PSL discount calculation'!X24,'PSL discount calculation'!X24,'Period PSL data'!M5-('PSL discount calculation'!Y6+Y12+Y18)))</f>
        <v>0</v>
      </c>
      <c r="Z24" s="168">
        <f>(X24-(Y24+Y25+Y26+Y27+Y28+Y29))+F24</f>
        <v>3115.75</v>
      </c>
      <c r="AA24" s="134">
        <f>IF('Period PSL data'!N5-('PSL discount calculation'!AA6+AA12+AA18)&lt;0,0,IF('Period PSL data'!N5-('PSL discount calculation'!AA6+AA12+AA18)&gt;'PSL discount calculation'!Z24,'PSL discount calculation'!Z24,'Period PSL data'!N5-('PSL discount calculation'!AA6+AA12+AA18)))</f>
        <v>0</v>
      </c>
      <c r="AB24" s="168">
        <f>(Z24-(AA24+AA25+AA26+AA27+AA28+AA29))+F24</f>
        <v>3399</v>
      </c>
      <c r="AC24" s="134">
        <f>IF('Period PSL data'!O5-('PSL discount calculation'!AC6+AC12+AC18)&lt;0,0,IF('Period PSL data'!O5-('PSL discount calculation'!AC6+AC12+AC18)&gt;'PSL discount calculation'!AB24,'PSL discount calculation'!AB24,'Period PSL data'!O5-('PSL discount calculation'!AC6+AC12+AC18)))</f>
        <v>0</v>
      </c>
      <c r="AD24" s="136">
        <f t="shared" si="1"/>
        <v>0</v>
      </c>
    </row>
    <row r="25" spans="1:30" x14ac:dyDescent="0.35">
      <c r="A25" s="131"/>
      <c r="B25" s="156"/>
      <c r="C25" s="10" t="str">
        <f t="shared" si="2"/>
        <v>OV 1.5</v>
      </c>
      <c r="D25" s="11">
        <f t="shared" si="2"/>
        <v>98.850000000000009</v>
      </c>
      <c r="E25" s="11">
        <f t="shared" ref="E25:E29" si="5">D25*$B$24</f>
        <v>5.931</v>
      </c>
      <c r="F25" s="168"/>
      <c r="G25" s="137">
        <f>IF(G24=F24,0,IF('Period PSL data'!D6-(G19+G13+G7)&lt;'PSL discount calculation'!F24-G24,'Period PSL data'!D6-(G19+G13+G7),'PSL discount calculation'!F24-'PSL discount calculation'!G24))</f>
        <v>0</v>
      </c>
      <c r="H25" s="168"/>
      <c r="I25" s="137">
        <f>IF(I24=H24,0,IF('Period PSL data'!E6-(I19+I13+I7)&lt;'PSL discount calculation'!H24-I24,'Period PSL data'!E6-(I19+I13+I7),'PSL discount calculation'!H24-'PSL discount calculation'!I24))</f>
        <v>0</v>
      </c>
      <c r="J25" s="168"/>
      <c r="K25" s="137">
        <f>IF(K24=J24,0,IF('Period PSL data'!F6-(K19+K13+K7)&lt;'PSL discount calculation'!J24-K24,'Period PSL data'!F6-(K19+K13+K7),'PSL discount calculation'!J24-'PSL discount calculation'!K24))</f>
        <v>0</v>
      </c>
      <c r="L25" s="168"/>
      <c r="M25" s="137">
        <f>IF(M24=L24,0,IF('Period PSL data'!G6-(M19+M13+M7)&lt;'PSL discount calculation'!L24-M24,'Period PSL data'!G6-(M19+M13+M7),'PSL discount calculation'!L24-'PSL discount calculation'!M24))</f>
        <v>0</v>
      </c>
      <c r="N25" s="168"/>
      <c r="O25" s="137">
        <f>IF(O24=N24,0,IF('Period PSL data'!H6-(O19+O13+O7)&lt;'PSL discount calculation'!N24-O24,'Period PSL data'!H6-(O19+O13+O7),'PSL discount calculation'!N24-'PSL discount calculation'!O24))</f>
        <v>0</v>
      </c>
      <c r="P25" s="168"/>
      <c r="Q25" s="137">
        <f>IF(Q24=P24,0,IF('Period PSL data'!I6-(Q19+Q13+Q7)&lt;'PSL discount calculation'!P24-Q24,'Period PSL data'!I6-(Q19+Q13+Q7),'PSL discount calculation'!P24-'PSL discount calculation'!Q24))</f>
        <v>0</v>
      </c>
      <c r="R25" s="168"/>
      <c r="S25" s="137">
        <f>IF(S24=R24,0,IF('Period PSL data'!J6-(S19+S13+S7)&lt;'PSL discount calculation'!R24-S24,'Period PSL data'!J6-(S19+S13+S7),'PSL discount calculation'!R24-'PSL discount calculation'!S24))</f>
        <v>0</v>
      </c>
      <c r="T25" s="168"/>
      <c r="U25" s="137">
        <f>IF(U24=T24,0,IF('Period PSL data'!K6-(U19+U13+U7)&lt;'PSL discount calculation'!T24-U24,'Period PSL data'!K6-(U19+U13+U7),'PSL discount calculation'!T24-'PSL discount calculation'!U24))</f>
        <v>0</v>
      </c>
      <c r="V25" s="168"/>
      <c r="W25" s="137">
        <f>IF(W24=V24,0,IF('Period PSL data'!L6-(W19+W13+W7)&lt;'PSL discount calculation'!V24-W24,'Period PSL data'!L6-(W19+W13+W7),'PSL discount calculation'!V24-'PSL discount calculation'!W24))</f>
        <v>0</v>
      </c>
      <c r="X25" s="168"/>
      <c r="Y25" s="137">
        <f>IF(Y24=X24,0,IF('Period PSL data'!M6-(Y19+Y13+Y7)&lt;'PSL discount calculation'!X24-Y24,'Period PSL data'!M6-(Y19+Y13+Y7),'PSL discount calculation'!X24-'PSL discount calculation'!Y24))</f>
        <v>0</v>
      </c>
      <c r="Z25" s="168"/>
      <c r="AA25" s="137">
        <f>IF(AA24=Z24,0,IF('Period PSL data'!N6-(AA19+AA13+AA7)&lt;'PSL discount calculation'!Z24-AA24,'Period PSL data'!N6-(AA19+AA13+AA7),'PSL discount calculation'!Z24-'PSL discount calculation'!AA24))</f>
        <v>0</v>
      </c>
      <c r="AB25" s="168"/>
      <c r="AC25" s="137">
        <f>IF(AC24=AB24,0,IF('Period PSL data'!O6-(AC19+AC13+AC7)&lt;'PSL discount calculation'!AB24-AC24,'Period PSL data'!O6-(AC19+AC13+AC7),'PSL discount calculation'!AB24-'PSL discount calculation'!AC24))</f>
        <v>0</v>
      </c>
      <c r="AD25" s="136">
        <f t="shared" si="1"/>
        <v>0</v>
      </c>
    </row>
    <row r="26" spans="1:30" x14ac:dyDescent="0.35">
      <c r="A26" s="131"/>
      <c r="B26" s="156"/>
      <c r="C26" s="10" t="str">
        <f t="shared" si="2"/>
        <v>OV Dbl</v>
      </c>
      <c r="D26" s="11">
        <f t="shared" si="2"/>
        <v>131.80000000000001</v>
      </c>
      <c r="E26" s="11">
        <f t="shared" si="5"/>
        <v>7.9080000000000004</v>
      </c>
      <c r="F26" s="168"/>
      <c r="G26" s="138">
        <f>IF(G24+G25=F24,0,IF('Period PSL data'!D7-(G8+G14+G20)&lt;'PSL discount calculation'!F24-(G24+G25),'Period PSL data'!D7-(G8+G14+G20),'PSL discount calculation'!F24-('PSL discount calculation'!G24+G25)))</f>
        <v>0</v>
      </c>
      <c r="H26" s="168"/>
      <c r="I26" s="138">
        <f>IF(I24+I25=H24,0,IF('Period PSL data'!E7-(I8+I14+I20)&lt;'PSL discount calculation'!H24-(I24+I25),'Period PSL data'!E7-(I8+I14+I20),'PSL discount calculation'!H24-('PSL discount calculation'!I24+I25)))</f>
        <v>0</v>
      </c>
      <c r="J26" s="168"/>
      <c r="K26" s="138">
        <f>IF(K24+K25=J24,0,IF('Period PSL data'!F7-(K8+K14+K20)&lt;'PSL discount calculation'!J24-(K24+K25),'Period PSL data'!F7-(K8+K14+K20),'PSL discount calculation'!J24-('PSL discount calculation'!K24+K25)))</f>
        <v>0</v>
      </c>
      <c r="L26" s="168"/>
      <c r="M26" s="138">
        <f>IF(M24+M25=L24,0,IF('Period PSL data'!G7-(M8+M14+M20)&lt;'PSL discount calculation'!L24-(M24+M25),'Period PSL data'!G7-(M8+M14+M20),'PSL discount calculation'!L24-('PSL discount calculation'!M24+M25)))</f>
        <v>0</v>
      </c>
      <c r="N26" s="168"/>
      <c r="O26" s="138">
        <f>IF(O24+O25=N24,0,IF('Period PSL data'!H7-(O8+O14+O20)&lt;'PSL discount calculation'!N24-(O24+O25),'Period PSL data'!H7-(O8+O14+O20),'PSL discount calculation'!N24-('PSL discount calculation'!O24+O25)))</f>
        <v>0</v>
      </c>
      <c r="P26" s="168"/>
      <c r="Q26" s="138">
        <f>IF(Q24+Q25=P24,0,IF('Period PSL data'!I7-(Q8+Q14+Q20)&lt;'PSL discount calculation'!P24-(Q24+Q25),'Period PSL data'!I7-(Q8+Q14+Q20),'PSL discount calculation'!P24-('PSL discount calculation'!Q24+Q25)))</f>
        <v>0</v>
      </c>
      <c r="R26" s="168"/>
      <c r="S26" s="138">
        <f>IF(S24+S25=R24,0,IF('Period PSL data'!J7-(S8+S14+S20)&lt;'PSL discount calculation'!R24-(S24+S25),'Period PSL data'!J7-(S8+S14+S20),'PSL discount calculation'!R24-('PSL discount calculation'!S24+S25)))</f>
        <v>0</v>
      </c>
      <c r="T26" s="168"/>
      <c r="U26" s="138">
        <f>IF(U24+U25=T24,0,IF('Period PSL data'!K7-(U8+U14+U20)&lt;'PSL discount calculation'!T24-(U24+U25),'Period PSL data'!K7-(U8+U14+U20),'PSL discount calculation'!T24-('PSL discount calculation'!U24+U25)))</f>
        <v>0</v>
      </c>
      <c r="V26" s="168"/>
      <c r="W26" s="138">
        <f>IF(W24+W25=V24,0,IF('Period PSL data'!L7-(W8+W14+W20)&lt;'PSL discount calculation'!V24-(W24+W25),'Period PSL data'!L7-(W8+W14+W20),'PSL discount calculation'!V24-('PSL discount calculation'!W24+W25)))</f>
        <v>0</v>
      </c>
      <c r="X26" s="168"/>
      <c r="Y26" s="138">
        <f>IF(Y24+Y25=X24,0,IF('Period PSL data'!M7-(Y8+Y14+Y20)&lt;'PSL discount calculation'!X24-(Y24+Y25),'Period PSL data'!M7-(Y8+Y14+Y20),'PSL discount calculation'!X24-('PSL discount calculation'!Y24+Y25)))</f>
        <v>0</v>
      </c>
      <c r="Z26" s="168"/>
      <c r="AA26" s="138">
        <f>IF(AA24+AA25=Z24,0,IF('Period PSL data'!N7-(AA8+AA14+AA20)&lt;'PSL discount calculation'!Z24-(AA24+AA25),'Period PSL data'!N7-(AA8+AA14+AA20),'PSL discount calculation'!Z24-('PSL discount calculation'!AA24+AA25)))</f>
        <v>0</v>
      </c>
      <c r="AB26" s="168"/>
      <c r="AC26" s="138">
        <f>IF(AC24+AC25=AB24,0,IF('Period PSL data'!O7-(AC8+AC14+AC20)&lt;'PSL discount calculation'!AB24-(AC24+AC25),'Period PSL data'!O7-(AC8+AC14+AC20),'PSL discount calculation'!AB24-('PSL discount calculation'!AC24+AC25)))</f>
        <v>0</v>
      </c>
      <c r="AD26" s="136">
        <f t="shared" si="1"/>
        <v>0</v>
      </c>
    </row>
    <row r="27" spans="1:30" x14ac:dyDescent="0.35">
      <c r="A27" s="131"/>
      <c r="B27" s="156"/>
      <c r="C27" s="10" t="str">
        <f t="shared" si="2"/>
        <v>SMI Single</v>
      </c>
      <c r="D27" s="11">
        <f t="shared" si="2"/>
        <v>43.2</v>
      </c>
      <c r="E27" s="11">
        <f t="shared" si="5"/>
        <v>2.5920000000000001</v>
      </c>
      <c r="F27" s="168"/>
      <c r="G27" s="139">
        <f>IF(G24+G25+G26=F24,0,IF('Period PSL data'!D8-(G9+G15+G21)&lt;'PSL discount calculation'!F24-(G24+G25+G26),'Period PSL data'!D8-(G9+G15+G21),'PSL discount calculation'!F24-('PSL discount calculation'!G24+G25+G26)))</f>
        <v>0</v>
      </c>
      <c r="H27" s="168"/>
      <c r="I27" s="139">
        <f>IF(I24+I25+I26=H24,0,IF('Period PSL data'!E8-(I9+I15+I21)&lt;'PSL discount calculation'!H24-(I24+I25+I26),'Period PSL data'!E8-(I9+I15+I21),'PSL discount calculation'!H24-('PSL discount calculation'!I24+I25+I26)))</f>
        <v>0</v>
      </c>
      <c r="J27" s="168"/>
      <c r="K27" s="139">
        <f>IF(K24+K25+K26=J24,0,IF('Period PSL data'!F8-(K9+K15+K21)&lt;'PSL discount calculation'!J24-(K24+K25+K26),'Period PSL data'!F8-(K9+K15+K21),'PSL discount calculation'!J24-('PSL discount calculation'!K24+K25+K26)))</f>
        <v>0</v>
      </c>
      <c r="L27" s="168"/>
      <c r="M27" s="139">
        <f>IF(M24+M25+M26=L24,0,IF('Period PSL data'!G8-(M9+M15+M21)&lt;'PSL discount calculation'!L24-(M24+M25+M26),'Period PSL data'!G8-(M9+M15+M21),'PSL discount calculation'!L24-('PSL discount calculation'!M24+M25+M26)))</f>
        <v>0</v>
      </c>
      <c r="N27" s="168"/>
      <c r="O27" s="139">
        <f>IF(O24+O25+O26=N24,0,IF('Period PSL data'!H8-(O9+O15+O21)&lt;'PSL discount calculation'!N24-(O24+O25+O26),'Period PSL data'!H8-(O9+O15+O21),'PSL discount calculation'!N24-('PSL discount calculation'!O24+O25+O26)))</f>
        <v>0</v>
      </c>
      <c r="P27" s="168"/>
      <c r="Q27" s="139">
        <f>IF(Q24+Q25+Q26=P24,0,IF('Period PSL data'!I8-(Q9+Q15+Q21)&lt;'PSL discount calculation'!P24-(Q24+Q25+Q26),'Period PSL data'!I8-(Q9+Q15+Q21),'PSL discount calculation'!P24-('PSL discount calculation'!Q24+Q25+Q26)))</f>
        <v>0</v>
      </c>
      <c r="R27" s="168"/>
      <c r="S27" s="139">
        <f>IF(S24+S25+S26=R24,0,IF('Period PSL data'!J8-(S9+S15+S21)&lt;'PSL discount calculation'!R24-(S24+S25+S26),'Period PSL data'!J8-(S9+S15+S21),'PSL discount calculation'!R24-('PSL discount calculation'!S24+S25+S26)))</f>
        <v>0</v>
      </c>
      <c r="T27" s="168"/>
      <c r="U27" s="139">
        <f>IF(U24+U25+U26=T24,0,IF('Period PSL data'!K8-(U9+U15+U21)&lt;'PSL discount calculation'!T24-(U24+U25+U26),'Period PSL data'!K8-(U9+U15+U21),'PSL discount calculation'!T24-('PSL discount calculation'!U24+U25+U26)))</f>
        <v>0</v>
      </c>
      <c r="V27" s="168"/>
      <c r="W27" s="139">
        <f>IF(W24+W25+W26=V24,0,IF('Period PSL data'!L8-(W9+W15+W21)&lt;'PSL discount calculation'!V24-(W24+W25+W26),'Period PSL data'!L8-(W9+W15+W21),'PSL discount calculation'!V24-('PSL discount calculation'!W24+W25+W26)))</f>
        <v>0</v>
      </c>
      <c r="X27" s="168"/>
      <c r="Y27" s="139">
        <f>IF(Y24+Y25+Y26=X24,0,IF('Period PSL data'!M8-(Y9+Y15+Y21)&lt;'PSL discount calculation'!X24-(Y24+Y25+Y26),'Period PSL data'!M8-(Y9+Y15+Y21),'PSL discount calculation'!X24-('PSL discount calculation'!Y24+Y25+Y26)))</f>
        <v>0</v>
      </c>
      <c r="Z27" s="168"/>
      <c r="AA27" s="139">
        <f>IF(AA24+AA25+AA26=Z24,0,IF('Period PSL data'!N8-(AA9+AA15+AA21)&lt;'PSL discount calculation'!Z24-(AA24+AA25+AA26),'Period PSL data'!N8-(AA9+AA15+AA21),'PSL discount calculation'!Z24-('PSL discount calculation'!AA24+AA25+AA26)))</f>
        <v>0</v>
      </c>
      <c r="AB27" s="168"/>
      <c r="AC27" s="139">
        <f>IF(AC24+AC25+AC26=AB24,0,IF('Period PSL data'!O8-(AC9+AC15+AC21)&lt;'PSL discount calculation'!AB24-(AC24+AC25+AC26),'Period PSL data'!O8-(AC9+AC15+AC21),'PSL discount calculation'!AB24-('PSL discount calculation'!AC24+AC25+AC26)))</f>
        <v>0</v>
      </c>
      <c r="AD27" s="136">
        <f t="shared" si="1"/>
        <v>0</v>
      </c>
    </row>
    <row r="28" spans="1:30" x14ac:dyDescent="0.35">
      <c r="A28" s="131"/>
      <c r="B28" s="156"/>
      <c r="C28" s="10" t="str">
        <f t="shared" si="2"/>
        <v>SMI 1.5</v>
      </c>
      <c r="D28" s="11">
        <f t="shared" si="2"/>
        <v>64.800000000000011</v>
      </c>
      <c r="E28" s="11">
        <f t="shared" si="5"/>
        <v>3.8880000000000003</v>
      </c>
      <c r="F28" s="168"/>
      <c r="G28" s="140">
        <f>IF(G24+G25+G26+G27=F24,0,IF('Period PSL data'!D9-(G10+G16+G22)&lt;'PSL discount calculation'!F24-(G24+G25+G26+G27),'Period PSL data'!D9-(G10+G16+G22),'PSL discount calculation'!F24-('PSL discount calculation'!G24+G25+G26+G27)))</f>
        <v>0</v>
      </c>
      <c r="H28" s="168"/>
      <c r="I28" s="140">
        <f>IF(I24+I25+I26+I27=H24,0,IF('Period PSL data'!E9-(I10+I16+I22)&lt;'PSL discount calculation'!H24-(I24+I25+I26+I27),'Period PSL data'!E9-(I10+I16+I22),'PSL discount calculation'!H24-('PSL discount calculation'!I24+I25+I26+I27)))</f>
        <v>0</v>
      </c>
      <c r="J28" s="168"/>
      <c r="K28" s="140">
        <f>IF(K24+K25+K26+K27=J24,0,IF('Period PSL data'!F9-(K10+K16+K22)&lt;'PSL discount calculation'!J24-(K24+K25+K26+K27),'Period PSL data'!F9-(K10+K16+K22),'PSL discount calculation'!J24-('PSL discount calculation'!K24+K25+K26+K27)))</f>
        <v>0</v>
      </c>
      <c r="L28" s="168"/>
      <c r="M28" s="140">
        <f>IF(M24+M25+M26+M27=L24,0,IF('Period PSL data'!G9-(M10+M16+M22)&lt;'PSL discount calculation'!L24-(M24+M25+M26+M27),'Period PSL data'!G9-(M10+M16+M22),'PSL discount calculation'!L24-('PSL discount calculation'!M24+M25+M26+M27)))</f>
        <v>0</v>
      </c>
      <c r="N28" s="168"/>
      <c r="O28" s="140">
        <f>IF(O24+O25+O26+O27=N24,0,IF('Period PSL data'!H9-(O10+O16+O22)&lt;'PSL discount calculation'!N24-(O24+O25+O26+O27),'Period PSL data'!H9-(O10+O16+O22),'PSL discount calculation'!N24-('PSL discount calculation'!O24+O25+O26+O27)))</f>
        <v>0</v>
      </c>
      <c r="P28" s="168"/>
      <c r="Q28" s="140">
        <f>IF(Q24+Q25+Q26+Q27=P24,0,IF('Period PSL data'!I9-(Q10+Q16+Q22)&lt;'PSL discount calculation'!P24-(Q24+Q25+Q26+Q27),'Period PSL data'!I9-(Q10+Q16+Q22),'PSL discount calculation'!P24-('PSL discount calculation'!Q24+Q25+Q26+Q27)))</f>
        <v>0</v>
      </c>
      <c r="R28" s="168"/>
      <c r="S28" s="140">
        <f>IF(S24+S25+S26+S27=R24,0,IF('Period PSL data'!J9-(S10+S16+S22)&lt;'PSL discount calculation'!R24-(S24+S25+S26+S27),'Period PSL data'!J9-(S10+S16+S22),'PSL discount calculation'!R24-('PSL discount calculation'!S24+S25+S26+S27)))</f>
        <v>0</v>
      </c>
      <c r="T28" s="168"/>
      <c r="U28" s="140">
        <f>IF(U24+U25+U26+U27=T24,0,IF('Period PSL data'!K9-(U10+U16+U22)&lt;'PSL discount calculation'!T24-(U24+U25+U26+U27),'Period PSL data'!K9-(U10+U16+U22),'PSL discount calculation'!T24-('PSL discount calculation'!U24+U25+U26+U27)))</f>
        <v>0</v>
      </c>
      <c r="V28" s="168"/>
      <c r="W28" s="140">
        <f>IF(W24+W25+W26+W27=V24,0,IF('Period PSL data'!L9-(W10+W16+W22)&lt;'PSL discount calculation'!V24-(W24+W25+W26+W27),'Period PSL data'!L9-(W10+W16+W22),'PSL discount calculation'!V24-('PSL discount calculation'!W24+W25+W26+W27)))</f>
        <v>0</v>
      </c>
      <c r="X28" s="168"/>
      <c r="Y28" s="140">
        <f>IF(Y24+Y25+Y26+Y27=X24,0,IF('Period PSL data'!M9-(Y10+Y16+Y22)&lt;'PSL discount calculation'!X24-(Y24+Y25+Y26+Y27),'Period PSL data'!M9-(Y10+Y16+Y22),'PSL discount calculation'!X24-('PSL discount calculation'!Y24+Y25+Y26+Y27)))</f>
        <v>0</v>
      </c>
      <c r="Z28" s="168"/>
      <c r="AA28" s="140">
        <f>IF(AA24+AA25+AA26+AA27=Z24,0,IF('Period PSL data'!N9-(AA10+AA16+AA22)&lt;'PSL discount calculation'!Z24-(AA24+AA25+AA26+AA27),'Period PSL data'!N9-(AA10+AA16+AA22),'PSL discount calculation'!Z24-('PSL discount calculation'!AA24+AA25+AA26+AA27)))</f>
        <v>0</v>
      </c>
      <c r="AB28" s="168"/>
      <c r="AC28" s="140">
        <f>IF(AC24+AC25+AC26+AC27=AB24,0,IF('Period PSL data'!O9-(AC10+AC16+AC22)&lt;'PSL discount calculation'!AB24-(AC24+AC25+AC26+AC27),'Period PSL data'!O9-(AC10+AC16+AC22),'PSL discount calculation'!AB24-('PSL discount calculation'!AC24+AC25+AC26+AC27)))</f>
        <v>0</v>
      </c>
      <c r="AD28" s="136">
        <f t="shared" si="1"/>
        <v>0</v>
      </c>
    </row>
    <row r="29" spans="1:30" x14ac:dyDescent="0.35">
      <c r="A29" s="131"/>
      <c r="B29" s="156"/>
      <c r="C29" s="10" t="str">
        <f t="shared" si="2"/>
        <v>SMI Dbl</v>
      </c>
      <c r="D29" s="11">
        <f t="shared" si="2"/>
        <v>86.4</v>
      </c>
      <c r="E29" s="11">
        <f t="shared" si="5"/>
        <v>5.1840000000000002</v>
      </c>
      <c r="F29" s="168"/>
      <c r="G29" s="141">
        <f>IF(G24+G25+G26+G27+G28=F24,0,IF('Period PSL data'!D10-(G11+G17+G23)&lt;'PSL discount calculation'!F24-(G24+G25+G26+G27+G28),'Period PSL data'!D10-(G11+G17+G23),'PSL discount calculation'!F24-('PSL discount calculation'!G24+G25+G26+G27+G28)))</f>
        <v>0</v>
      </c>
      <c r="H29" s="168"/>
      <c r="I29" s="141">
        <f>IF(I24+I25+I26+I27+I28=H24,0,IF('Period PSL data'!E10-(I11+I17+I23)&lt;'PSL discount calculation'!H24-(I24+I25+I26+I27+I28),'Period PSL data'!E10-(I11+I17+I23),'PSL discount calculation'!H24-('PSL discount calculation'!I24+I25+I26+I27+I28)))</f>
        <v>0</v>
      </c>
      <c r="J29" s="168"/>
      <c r="K29" s="141">
        <f>IF(K24+K25+K26+K27+K28=J24,0,IF('Period PSL data'!F10-(K11+K17+K23)&lt;'PSL discount calculation'!J24-(K24+K25+K26+K27+K28),'Period PSL data'!F10-(K11+K17+K23),'PSL discount calculation'!J24-('PSL discount calculation'!K24+K25+K26+K27+K28)))</f>
        <v>0</v>
      </c>
      <c r="L29" s="168"/>
      <c r="M29" s="141">
        <f>IF(M24+M25+M26+M27+M28=L24,0,IF('Period PSL data'!G10-(M11+M17+M23)&lt;'PSL discount calculation'!L24-(M24+M25+M26+M27+M28),'Period PSL data'!G10-(M11+M17+M23),'PSL discount calculation'!L24-('PSL discount calculation'!M24+M25+M26+M27+M28)))</f>
        <v>0</v>
      </c>
      <c r="N29" s="168"/>
      <c r="O29" s="141">
        <f>IF(O24+O25+O26+O27+O28=N24,0,IF('Period PSL data'!H10-(O11+O17+O23)&lt;'PSL discount calculation'!N24-(O24+O25+O26+O27+O28),'Period PSL data'!H10-(O11+O17+O23),'PSL discount calculation'!N24-('PSL discount calculation'!O24+O25+O26+O27+O28)))</f>
        <v>0</v>
      </c>
      <c r="P29" s="168"/>
      <c r="Q29" s="141">
        <f>IF(Q24+Q25+Q26+Q27+Q28=P24,0,IF('Period PSL data'!I10-(Q11+Q17+Q23)&lt;'PSL discount calculation'!P24-(Q24+Q25+Q26+Q27+Q28),'Period PSL data'!I10-(Q11+Q17+Q23),'PSL discount calculation'!P24-('PSL discount calculation'!Q24+Q25+Q26+Q27+Q28)))</f>
        <v>0</v>
      </c>
      <c r="R29" s="168"/>
      <c r="S29" s="141">
        <f>IF(S24+S25+S26+S27+S28=R24,0,IF('Period PSL data'!J10-(S11+S17+S23)&lt;'PSL discount calculation'!R24-(S24+S25+S26+S27+S28),'Period PSL data'!J10-(S11+S17+S23),'PSL discount calculation'!R24-('PSL discount calculation'!S24+S25+S26+S27+S28)))</f>
        <v>0</v>
      </c>
      <c r="T29" s="168"/>
      <c r="U29" s="141">
        <f>IF(U24+U25+U26+U27+U28=T24,0,IF('Period PSL data'!K10-(U11+U17+U23)&lt;'PSL discount calculation'!T24-(U24+U25+U26+U27+U28),'Period PSL data'!K10-(U11+U17+U23),'PSL discount calculation'!T24-('PSL discount calculation'!U24+U25+U26+U27+U28)))</f>
        <v>0</v>
      </c>
      <c r="V29" s="168"/>
      <c r="W29" s="141">
        <f>IF(W24+W25+W26+W27+W28=V24,0,IF('Period PSL data'!L10-(W11+W17+W23)&lt;'PSL discount calculation'!V24-(W24+W25+W26+W27+W28),'Period PSL data'!L10-(W11+W17+W23),'PSL discount calculation'!V24-('PSL discount calculation'!W24+W25+W26+W27+W28)))</f>
        <v>0</v>
      </c>
      <c r="X29" s="168"/>
      <c r="Y29" s="141">
        <f>IF(Y24+Y25+Y26+Y27+Y28=X24,0,IF('Period PSL data'!M10-(Y11+Y17+Y23)&lt;'PSL discount calculation'!X24-(Y24+Y25+Y26+Y27+Y28),'Period PSL data'!M10-(Y11+Y17+Y23),'PSL discount calculation'!X24-('PSL discount calculation'!Y24+Y25+Y26+Y27+Y28)))</f>
        <v>0</v>
      </c>
      <c r="Z29" s="168"/>
      <c r="AA29" s="141">
        <f>IF(AA24+AA25+AA26+AA27+AA28=Z24,0,IF('Period PSL data'!N10-(AA11+AA17+AA23)&lt;'PSL discount calculation'!Z24-(AA24+AA25+AA26+AA27+AA28),'Period PSL data'!N10-(AA11+AA17+AA23),'PSL discount calculation'!Z24-('PSL discount calculation'!AA24+AA25+AA26+AA27+AA28)))</f>
        <v>0</v>
      </c>
      <c r="AB29" s="168"/>
      <c r="AC29" s="141">
        <f>IF(AC24+AC25+AC26+AC27+AC28=AB24,0,IF('Period PSL data'!O10-(AC11+AC17+AC23)&lt;'PSL discount calculation'!AB24-(AC24+AC25+AC26+AC27+AC28),'Period PSL data'!O10-(AC11+AC17+AC23),'PSL discount calculation'!AB24-('PSL discount calculation'!AC24+AC25+AC26+AC27+AC28)))</f>
        <v>0</v>
      </c>
      <c r="AD29" s="136">
        <f t="shared" si="1"/>
        <v>0</v>
      </c>
    </row>
    <row r="30" spans="1:30" x14ac:dyDescent="0.35">
      <c r="A30" s="131">
        <v>5</v>
      </c>
      <c r="B30" s="167">
        <f>'Annual data (rates, Bands, disc'!E7</f>
        <v>0.04</v>
      </c>
      <c r="C30" s="10" t="str">
        <f t="shared" si="2"/>
        <v>OV Single</v>
      </c>
      <c r="D30" s="11">
        <f t="shared" si="2"/>
        <v>65.900000000000006</v>
      </c>
      <c r="E30" s="11">
        <f>D30*$B$30</f>
        <v>2.6360000000000001</v>
      </c>
      <c r="F30" s="80">
        <f>'Annual data (rates, Bands, disc'!I7/12</f>
        <v>953.58333333333337</v>
      </c>
      <c r="G30" s="134">
        <f>IF('Period PSL data'!D5-('PSL discount calculation'!G6+G12+G18+G24)&lt;0,0,IF('Period PSL data'!D5-('PSL discount calculation'!G6+G12+G18+G24)&gt;'PSL discount calculation'!F30,'PSL discount calculation'!F30,'Period PSL data'!D5-('PSL discount calculation'!G6+G12+G18+G24)))</f>
        <v>0</v>
      </c>
      <c r="H30" s="135">
        <f>(F30-(G30+G31+G32+G33+G34+G35)+F30)</f>
        <v>1907.1666666666667</v>
      </c>
      <c r="I30" s="134">
        <f>IF('Period PSL data'!E5-('PSL discount calculation'!I6+I12+I18+I24)&lt;0,0,IF('Period PSL data'!E5-('PSL discount calculation'!I6+I12+I18+I24)&gt;'PSL discount calculation'!H30,'PSL discount calculation'!H30,'Period PSL data'!E5-('PSL discount calculation'!I6+I12+I18+I24)))</f>
        <v>0</v>
      </c>
      <c r="J30" s="168">
        <f>(H30-(I30+I31+I32+I33+I34+I35))+F30</f>
        <v>2860.75</v>
      </c>
      <c r="K30" s="134">
        <f>IF('Period PSL data'!F5-('PSL discount calculation'!K6+K12+K18+K24)&lt;0,0,IF('Period PSL data'!F5-('PSL discount calculation'!K6+K12+K18+K24)&gt;'PSL discount calculation'!J30,'PSL discount calculation'!J30,'Period PSL data'!F5-('PSL discount calculation'!K6+K12+K18+K24)))</f>
        <v>0</v>
      </c>
      <c r="L30" s="168">
        <f>(J30-(K30+K31+K32+K33+K34+K35))+F30</f>
        <v>3814.3333333333335</v>
      </c>
      <c r="M30" s="134">
        <f>IF('Period PSL data'!G5-('PSL discount calculation'!M6+M12+M18+M24)&lt;0,0,IF('Period PSL data'!G5-('PSL discount calculation'!M6+M12+M18+M24)&gt;'PSL discount calculation'!L30,'PSL discount calculation'!L30,'Period PSL data'!G5-('PSL discount calculation'!M6+M12+M18+M24)))</f>
        <v>0</v>
      </c>
      <c r="N30" s="168">
        <f>(L30-(M30+M31+M32+M33+M34+M35))+F30</f>
        <v>4767.916666666667</v>
      </c>
      <c r="O30" s="134">
        <f>IF('Period PSL data'!H5-('PSL discount calculation'!O6+O12+O18+O24)&lt;0,0,IF('Period PSL data'!H5-('PSL discount calculation'!O6+O12+O18+O24)&gt;'PSL discount calculation'!N30,'PSL discount calculation'!N30,'Period PSL data'!H5-('PSL discount calculation'!O6+O12+O18+O24)))</f>
        <v>0</v>
      </c>
      <c r="P30" s="168">
        <f>(N30-(O30+O31+O32+O33+O34+O35))+F30</f>
        <v>5721.5</v>
      </c>
      <c r="Q30" s="134">
        <f>IF('Period PSL data'!I5-('PSL discount calculation'!Q6+Q12+Q18+Q24)&lt;0,0,IF('Period PSL data'!I5-('PSL discount calculation'!Q6+Q12+Q18+Q24)&gt;'PSL discount calculation'!P30,'PSL discount calculation'!P30,'Period PSL data'!I5-('PSL discount calculation'!Q6+Q12+Q18+Q24)))</f>
        <v>0</v>
      </c>
      <c r="R30" s="168">
        <f>(P30-(Q30+Q31+Q32+Q33+Q34+Q35))+F30</f>
        <v>6675.083333333333</v>
      </c>
      <c r="S30" s="134">
        <f>IF('Period PSL data'!J5-('PSL discount calculation'!S6+S12+S18+S24)&lt;0,0,IF('Period PSL data'!J5-('PSL discount calculation'!S6+S12+S18+S24)&gt;'PSL discount calculation'!R30,'PSL discount calculation'!R30,'Period PSL data'!J5-('PSL discount calculation'!S6+S12+S18+S24)))</f>
        <v>0</v>
      </c>
      <c r="T30" s="168">
        <f>(R30-(S30+S31+S32+S33+S34+S35))+F30</f>
        <v>7628.6666666666661</v>
      </c>
      <c r="U30" s="134">
        <f>IF('Period PSL data'!K5-('PSL discount calculation'!U6+U12+U18+U24)&lt;0,0,IF('Period PSL data'!K5-('PSL discount calculation'!U6+U12+U18+U24)&gt;'PSL discount calculation'!T30,'PSL discount calculation'!T30,'Period PSL data'!K5-('PSL discount calculation'!U6+U12+U18+U24)))</f>
        <v>0</v>
      </c>
      <c r="V30" s="168">
        <f>(T30-(U30+U31+U32+U33+U34+U35))+F30</f>
        <v>8582.25</v>
      </c>
      <c r="W30" s="134">
        <f>IF('Period PSL data'!L5-('PSL discount calculation'!W6+W12+W18+W24)&lt;0,0,IF('Period PSL data'!L5-('PSL discount calculation'!W6+W12+W18+W24)&gt;'PSL discount calculation'!V30,'PSL discount calculation'!V30,'Period PSL data'!L5-('PSL discount calculation'!W6+W12+W18+W24)))</f>
        <v>0</v>
      </c>
      <c r="X30" s="168">
        <f>(V30-(W30+W31+W32+W33+W34+W35))+F30</f>
        <v>9535.8333333333339</v>
      </c>
      <c r="Y30" s="134">
        <f>IF('Period PSL data'!M5-('PSL discount calculation'!Y6+Y12+Y18+Y24)&lt;0,0,IF('Period PSL data'!M5-('PSL discount calculation'!Y6+Y12+Y18+Y24)&gt;'PSL discount calculation'!X30,'PSL discount calculation'!X30,'Period PSL data'!M5-('PSL discount calculation'!Y6+Y12+Y18+Y24)))</f>
        <v>0</v>
      </c>
      <c r="Z30" s="168">
        <f>(X30-(Y30+Y31+Y32+Y33+Y34+Y35))+F30</f>
        <v>10489.416666666668</v>
      </c>
      <c r="AA30" s="134">
        <f>IF('Period PSL data'!N5-('PSL discount calculation'!AA6+AA12+AA18+AA24)&lt;0,0,IF('Period PSL data'!N5-('PSL discount calculation'!AA6+AA12+AA18+AA24)&gt;'PSL discount calculation'!Z30,'PSL discount calculation'!Z30,'Period PSL data'!N5-('PSL discount calculation'!AA6+AA12+AA18+AA24)))</f>
        <v>0</v>
      </c>
      <c r="AB30" s="168">
        <f>(Z30-(AA30+AA31+AA32+AA33+AA34+AA35))+F30</f>
        <v>11443.000000000002</v>
      </c>
      <c r="AC30" s="134">
        <f>IF('Period PSL data'!O5-('PSL discount calculation'!AC6+AC12+AC18+AC24)&lt;0,0,IF('Period PSL data'!O5-('PSL discount calculation'!AC6+AC12+AC18+AC24)&gt;'PSL discount calculation'!AB30,'PSL discount calculation'!AB30,'Period PSL data'!O5-('PSL discount calculation'!AC6+AC12+AC18+AC24)))</f>
        <v>0</v>
      </c>
      <c r="AD30" s="136">
        <f t="shared" si="1"/>
        <v>0</v>
      </c>
    </row>
    <row r="31" spans="1:30" x14ac:dyDescent="0.35">
      <c r="A31" s="131"/>
      <c r="B31" s="156"/>
      <c r="C31" s="10" t="str">
        <f t="shared" si="2"/>
        <v>OV 1.5</v>
      </c>
      <c r="D31" s="11">
        <f t="shared" si="2"/>
        <v>98.850000000000009</v>
      </c>
      <c r="E31" s="11">
        <f t="shared" ref="E31:E35" si="6">D31*$B$30</f>
        <v>3.9540000000000006</v>
      </c>
      <c r="F31" s="168"/>
      <c r="G31" s="137">
        <f>IF(G30=F30,0,IF('Period PSL data'!D6-G25-(G19+G13+G7)&lt;'PSL discount calculation'!F30-G30,'Period PSL data'!D6-G25-(G19+G13+G7),'PSL discount calculation'!F30-'PSL discount calculation'!G30))</f>
        <v>0</v>
      </c>
      <c r="H31" s="168"/>
      <c r="I31" s="137">
        <f>IF(I30=H30,0,IF('Period PSL data'!E6-I25-(I19+I13+I7)&lt;'PSL discount calculation'!H30-I30,'Period PSL data'!E6-I25-(I19+I13+I7),'PSL discount calculation'!H30-'PSL discount calculation'!I30))</f>
        <v>0</v>
      </c>
      <c r="J31" s="168"/>
      <c r="K31" s="137">
        <f>IF(K30=J30,0,IF('Period PSL data'!F6-(K25+K19+K13+K7)&lt;'PSL discount calculation'!J30-K30,'Period PSL data'!F6-(K25+K19+K13+K7),'PSL discount calculation'!J30-'PSL discount calculation'!K30))</f>
        <v>0</v>
      </c>
      <c r="L31" s="168"/>
      <c r="M31" s="137">
        <f>IF(M30=L30,0,IF('Period PSL data'!G6-M25-(M19+M13+M7)&lt;'PSL discount calculation'!L30-M30,'Period PSL data'!G6-M25-(M19+M13+M7),'PSL discount calculation'!L30-'PSL discount calculation'!M30))</f>
        <v>0</v>
      </c>
      <c r="N31" s="168"/>
      <c r="O31" s="137">
        <f>IF(O30=N30,0,IF('Period PSL data'!H6-O25-(O19+O13+O7)&lt;'PSL discount calculation'!N30-O30,'Period PSL data'!H6-O25-(O19+O13+O7),'PSL discount calculation'!N30-'PSL discount calculation'!O30))</f>
        <v>0</v>
      </c>
      <c r="P31" s="168"/>
      <c r="Q31" s="137">
        <f>IF(Q30=P30,0,IF('Period PSL data'!I6-Q25-(Q19+Q13+Q7)&lt;'PSL discount calculation'!P30-Q30,'Period PSL data'!I6-Q25-(Q19+Q13+Q7),'PSL discount calculation'!P30-'PSL discount calculation'!Q30))</f>
        <v>0</v>
      </c>
      <c r="R31" s="168"/>
      <c r="S31" s="137">
        <f>IF(S30=R30,0,IF('Period PSL data'!J6-S25-(S19+S13+S7)&lt;'PSL discount calculation'!R30-S30,'Period PSL data'!J6-S25-(S19+S13+S7),'PSL discount calculation'!R30-'PSL discount calculation'!S30))</f>
        <v>0</v>
      </c>
      <c r="T31" s="168"/>
      <c r="U31" s="137">
        <f>IF(U30=T30,0,IF('Period PSL data'!K6-U25-(U19+U13+U7)&lt;'PSL discount calculation'!T30-U30,'Period PSL data'!K6-U25-(U19+U13+U7),'PSL discount calculation'!T30-'PSL discount calculation'!U30))</f>
        <v>0</v>
      </c>
      <c r="V31" s="168"/>
      <c r="W31" s="137">
        <f>IF(W30=V30,0,IF('Period PSL data'!L6-W25-(W19+W13+W7)&lt;'PSL discount calculation'!V30-W30,'Period PSL data'!L6-W25-(W19+W13+W7),'PSL discount calculation'!V30-'PSL discount calculation'!W30))</f>
        <v>0</v>
      </c>
      <c r="X31" s="168"/>
      <c r="Y31" s="137">
        <f>IF(Y30=X30,0,IF('Period PSL data'!M6-Y25-(Y19+Y13+Y7)&lt;'PSL discount calculation'!X30-Y30,'Period PSL data'!M6-Y25-(Y19+Y13+Y7),'PSL discount calculation'!X30-'PSL discount calculation'!Y30))</f>
        <v>0</v>
      </c>
      <c r="Z31" s="168"/>
      <c r="AA31" s="137">
        <f>IF(AA30=Z30,0,IF('Period PSL data'!N6-AA25-(AA19+AA13+AA7)&lt;'PSL discount calculation'!Z30-AA30,'Period PSL data'!N6-AA25-(AA19+AA13+AA7),'PSL discount calculation'!Z30-'PSL discount calculation'!AA30))</f>
        <v>0</v>
      </c>
      <c r="AB31" s="168"/>
      <c r="AC31" s="137">
        <f>IF(AC30=AB30,0,IF('Period PSL data'!O6-AC25-(AC19+AC13+AC7)&lt;'PSL discount calculation'!AB30-AC30,'Period PSL data'!O6-AC25-(AC19+AC13+AC7),'PSL discount calculation'!AB30-'PSL discount calculation'!AC30))</f>
        <v>0</v>
      </c>
      <c r="AD31" s="136">
        <f t="shared" si="1"/>
        <v>0</v>
      </c>
    </row>
    <row r="32" spans="1:30" x14ac:dyDescent="0.35">
      <c r="A32" s="131"/>
      <c r="B32" s="156"/>
      <c r="C32" s="10" t="str">
        <f t="shared" si="2"/>
        <v>OV Dbl</v>
      </c>
      <c r="D32" s="11">
        <f t="shared" si="2"/>
        <v>131.80000000000001</v>
      </c>
      <c r="E32" s="11">
        <f t="shared" si="6"/>
        <v>5.2720000000000002</v>
      </c>
      <c r="F32" s="168"/>
      <c r="G32" s="138">
        <f>IF(G30+G31=F30,0,IF('Period PSL data'!D7-(G8+G14+G20+G26)&lt;'PSL discount calculation'!F30-(G30+G31),'Period PSL data'!D7-(G8+G14+G20+G26),'PSL discount calculation'!F30-('PSL discount calculation'!G30+G31)))</f>
        <v>0</v>
      </c>
      <c r="H32" s="168"/>
      <c r="I32" s="138">
        <f>IF(I30+I31=H30,0,IF('Period PSL data'!E7-(I8+I14+I20+I26)&lt;'PSL discount calculation'!H30-(I30+I31),'Period PSL data'!E7-(I8+I14+I20+I26),'PSL discount calculation'!H30-('PSL discount calculation'!I30+I31)))</f>
        <v>0</v>
      </c>
      <c r="J32" s="168"/>
      <c r="K32" s="138">
        <f>IF(K30+K31=J30,0,IF('Period PSL data'!F7-(K8+K14+K20+K26)&lt;'PSL discount calculation'!J30-(K30+K31),'Period PSL data'!F7-(K8+K14+K20+K26),'PSL discount calculation'!J30-('PSL discount calculation'!K30+K31)))</f>
        <v>0</v>
      </c>
      <c r="L32" s="168"/>
      <c r="M32" s="138">
        <f>IF(M30+M31=L30,0,IF('Period PSL data'!G7-(M8+M14+M20+M26)&lt;'PSL discount calculation'!L30-(M30+M31),'Period PSL data'!G7-(M8+M14+M20+M26),'PSL discount calculation'!L30-('PSL discount calculation'!M30+M31)))</f>
        <v>0</v>
      </c>
      <c r="N32" s="168"/>
      <c r="O32" s="138">
        <f>IF(O30+O31=N30,0,IF('Period PSL data'!H7-(O8+O14+O20+O26)&lt;'PSL discount calculation'!N30-(O30+O31),'Period PSL data'!H7-(O8+O14+O20+O26),'PSL discount calculation'!N30-('PSL discount calculation'!O30+O31)))</f>
        <v>0</v>
      </c>
      <c r="P32" s="168"/>
      <c r="Q32" s="138">
        <f>IF(Q30+Q31=P30,0,IF('Period PSL data'!I7-(Q8+Q14+Q20+Q26)&lt;'PSL discount calculation'!P30-(Q30+Q31),'Period PSL data'!I7-(Q8+Q14+Q20+Q26),'PSL discount calculation'!P30-('PSL discount calculation'!Q30+Q31)))</f>
        <v>0</v>
      </c>
      <c r="R32" s="168"/>
      <c r="S32" s="138">
        <f>IF(S30+S31=R30,0,IF('Period PSL data'!J7-(S8+S14+S20+S26)&lt;'PSL discount calculation'!R30-(S30+S31),'Period PSL data'!J7-(S8+S14+S20+S26),'PSL discount calculation'!R30-('PSL discount calculation'!S30+S31)))</f>
        <v>0</v>
      </c>
      <c r="T32" s="168"/>
      <c r="U32" s="138">
        <f>IF(U30+U31=T30,0,IF('Period PSL data'!K7-(U8+U14+U20+U26)&lt;'PSL discount calculation'!T30-(U30+U31),'Period PSL data'!K7-(U8+U14+U20+U26),'PSL discount calculation'!T30-('PSL discount calculation'!U30+U31)))</f>
        <v>0</v>
      </c>
      <c r="V32" s="168"/>
      <c r="W32" s="138">
        <f>IF(W30+W31=V30,0,IF('Period PSL data'!L7-(W8+W14+W20+W26)&lt;'PSL discount calculation'!V30-(W30+W31),'Period PSL data'!L7-(W8+W14+W20+W26),'PSL discount calculation'!V30-('PSL discount calculation'!W30+W31)))</f>
        <v>0</v>
      </c>
      <c r="X32" s="168"/>
      <c r="Y32" s="138">
        <f>IF(Y30+Y31=X30,0,IF('Period PSL data'!M7-(Y8+Y14+Y20+Y26)&lt;'PSL discount calculation'!X30-(Y30+Y31),'Period PSL data'!M7-(Y8+Y14+Y20+Y26),'PSL discount calculation'!X30-('PSL discount calculation'!Y30+Y31)))</f>
        <v>0</v>
      </c>
      <c r="Z32" s="168"/>
      <c r="AA32" s="138">
        <f>IF(AA30+AA31=Z30,0,IF('Period PSL data'!N7-(AA8+AA14+AA20+AA26)&lt;'PSL discount calculation'!Z30-(AA30+AA31),'Period PSL data'!N7-(AA8+AA14+AA20+AA26),'PSL discount calculation'!Z30-('PSL discount calculation'!AA30+AA31)))</f>
        <v>0</v>
      </c>
      <c r="AB32" s="168"/>
      <c r="AC32" s="138">
        <f>IF(AC30+AC31=AB30,0,IF('Period PSL data'!O7-(AC8+AC14+AC20+AC26)&lt;'PSL discount calculation'!AB30-(AC30+AC31),'Period PSL data'!O7-(AC8+AC14+AC20+AC26),'PSL discount calculation'!AB30-('PSL discount calculation'!AC30+AC31)))</f>
        <v>0</v>
      </c>
      <c r="AD32" s="136">
        <f t="shared" si="1"/>
        <v>0</v>
      </c>
    </row>
    <row r="33" spans="1:30" x14ac:dyDescent="0.35">
      <c r="A33" s="131"/>
      <c r="B33" s="156"/>
      <c r="C33" s="10" t="str">
        <f t="shared" si="2"/>
        <v>SMI Single</v>
      </c>
      <c r="D33" s="11">
        <f t="shared" si="2"/>
        <v>43.2</v>
      </c>
      <c r="E33" s="11">
        <f t="shared" si="6"/>
        <v>1.7280000000000002</v>
      </c>
      <c r="F33" s="168"/>
      <c r="G33" s="139">
        <f>IF(G30+G31+G32=F30,0,IF('Period PSL data'!D8-(G9+G15+G21+G27)&lt;'PSL discount calculation'!F30-(G30+G31+G32),'Period PSL data'!D8-(G9+G15+G21+G27),'PSL discount calculation'!F30-('PSL discount calculation'!G30+G31+G32)))</f>
        <v>0</v>
      </c>
      <c r="H33" s="168"/>
      <c r="I33" s="139">
        <f>IF(I30+I31+I32=H30,0,IF('Period PSL data'!E8-(I9+I15+I21+I27)&lt;'PSL discount calculation'!H30-(I30+I31+I32),'Period PSL data'!E8-(I9+I15+I21+I27),'PSL discount calculation'!H30-('PSL discount calculation'!I30+I31+I32)))</f>
        <v>0</v>
      </c>
      <c r="J33" s="168"/>
      <c r="K33" s="139">
        <f>IF(K30+K31+K32=J30,0,IF('Period PSL data'!F8-(K9+K15+K21+K27)&lt;'PSL discount calculation'!J30-(K30+K31+K32),'Period PSL data'!F8-(K9+K15+K21+K27),'PSL discount calculation'!J30-('PSL discount calculation'!K30+K31+K32)))</f>
        <v>0</v>
      </c>
      <c r="L33" s="168"/>
      <c r="M33" s="139">
        <f>IF(M30+M31+M32=L30,0,IF('Period PSL data'!G8-M9-(M15+M21+M27)&lt;'PSL discount calculation'!L30-(M30+M31+M32),'Period PSL data'!G8-(M9+M15+M21+M27),'PSL discount calculation'!L30-('PSL discount calculation'!M30+M31+M32)))</f>
        <v>0</v>
      </c>
      <c r="N33" s="168"/>
      <c r="O33" s="139">
        <f>IF(O30+O31+O32=N30,0,IF('Period PSL data'!H8-(O9+O15+O21+O27)&lt;'PSL discount calculation'!N30-(O30+O31+O32),'Period PSL data'!H8-(O9+O15+O21+O27),'PSL discount calculation'!N30-('PSL discount calculation'!O30+O31+O32)))</f>
        <v>0</v>
      </c>
      <c r="P33" s="168"/>
      <c r="Q33" s="139">
        <f>IF(Q30+Q31+Q32=P30,0,IF('Period PSL data'!I8-(Q9+Q15+Q21+Q27)&lt;'PSL discount calculation'!P30-(Q30+Q31+Q32),'Period PSL data'!I8-(Q9+Q15+Q21+Q27),'PSL discount calculation'!P30-('PSL discount calculation'!Q30+Q31+Q32)))</f>
        <v>0</v>
      </c>
      <c r="R33" s="168"/>
      <c r="S33" s="139">
        <f>IF(S30+S31+S32=R30,0,IF('Period PSL data'!J8-(S9+S15+S21+S27)&lt;'PSL discount calculation'!R30-(S30+S31+S32),'Period PSL data'!J8-(S9+S15+S21+S27),'PSL discount calculation'!R30-('PSL discount calculation'!S30+S31+S32)))</f>
        <v>0</v>
      </c>
      <c r="T33" s="168"/>
      <c r="U33" s="139">
        <f>IF(U30+U31+U32=T30,0,IF('Period PSL data'!K8-(U9+U15+U21+U27)&lt;'PSL discount calculation'!T30-(U30+U31+U32),'Period PSL data'!K8-(U9+U15+U21+U27),'PSL discount calculation'!T30-('PSL discount calculation'!U30+U31+U32)))</f>
        <v>0</v>
      </c>
      <c r="V33" s="168"/>
      <c r="W33" s="139">
        <f>IF(W30+W31+W32=V30,0,IF('Period PSL data'!L8-(W9+W15+W21+W27)&lt;'PSL discount calculation'!V30-(W30+W31+W32),'Period PSL data'!L8-(W9+W15+W21+W27),'PSL discount calculation'!V30-('PSL discount calculation'!W30+W31+W32)))</f>
        <v>0</v>
      </c>
      <c r="X33" s="168"/>
      <c r="Y33" s="139">
        <f>IF(Y30+Y31+Y32=X30,0,IF('Period PSL data'!M8-(Y9+Y15+Y21+Y27)&lt;'PSL discount calculation'!X30-(Y30+Y31+Y32),'Period PSL data'!M8-(Y9+Y15+Y21+Y27),'PSL discount calculation'!X30-('PSL discount calculation'!Y30+Y31+Y32)))</f>
        <v>0</v>
      </c>
      <c r="Z33" s="168"/>
      <c r="AA33" s="139">
        <f>IF(AA30+AA31+AA32=Z30,0,IF('Period PSL data'!N8-(AA9+AA15+AA21+AA27)&lt;'PSL discount calculation'!Z30-(AA30+AA31+AA32),'Period PSL data'!N8-(AA9+AA15+AA21+AA27),'PSL discount calculation'!Z30-('PSL discount calculation'!AA30+AA31+AA32)))</f>
        <v>0</v>
      </c>
      <c r="AB33" s="168"/>
      <c r="AC33" s="139">
        <f>IF(AC30+AC31+AC32=AB30,0,IF('Period PSL data'!O8-(AC9+AC15+AC21+AC27)&lt;'PSL discount calculation'!AB30-(AC30+AC31+AC32),'Period PSL data'!O8-(AC9+AC15+AC21+AC27),'PSL discount calculation'!AB30-('PSL discount calculation'!AC30+AC31+AC32)))</f>
        <v>0</v>
      </c>
      <c r="AD33" s="136">
        <f t="shared" si="1"/>
        <v>0</v>
      </c>
    </row>
    <row r="34" spans="1:30" x14ac:dyDescent="0.35">
      <c r="A34" s="131"/>
      <c r="B34" s="156"/>
      <c r="C34" s="10" t="str">
        <f t="shared" si="2"/>
        <v>SMI 1.5</v>
      </c>
      <c r="D34" s="11">
        <f t="shared" si="2"/>
        <v>64.800000000000011</v>
      </c>
      <c r="E34" s="11">
        <f t="shared" si="6"/>
        <v>2.5920000000000005</v>
      </c>
      <c r="F34" s="168"/>
      <c r="G34" s="140">
        <f>IF(G30+G31+G32+G33=F30,0,IF('Period PSL data'!D9-(G10+G16+G22+G28)&lt;'PSL discount calculation'!F30-(G30+G31+G32+G33),'Period PSL data'!D9-(G10+G16+G22+G28),'PSL discount calculation'!F30-('PSL discount calculation'!G30+G31+G32+G33)))</f>
        <v>0</v>
      </c>
      <c r="H34" s="168"/>
      <c r="I34" s="140">
        <f>IF(I30+I31+I32+I33=H30,0,IF('Period PSL data'!E9-(I10+I16+I22+I28)&lt;'PSL discount calculation'!H30-(I30+I31+I32+I33),'Period PSL data'!E9-(I10+I16+I22+I28),'PSL discount calculation'!H30-('PSL discount calculation'!I30+I31+I32+I33)))</f>
        <v>0</v>
      </c>
      <c r="J34" s="168"/>
      <c r="K34" s="140">
        <f>IF(K30+K31+K32+K33=J30,0,IF('Period PSL data'!F9-(K10+K16+K22+K28)&lt;'PSL discount calculation'!J30-(K30+K31+K32+K33),'Period PSL data'!F9-(K10+K16+K22+K28),'PSL discount calculation'!J30-('PSL discount calculation'!K30+K31+K32+K33)))</f>
        <v>0</v>
      </c>
      <c r="L34" s="168"/>
      <c r="M34" s="18">
        <f>IF(M30+M31+M32+M33=L30,0,IF('Period PSL data'!G9-(M10+M16+M22+M28)&lt;'PSL discount calculation'!L30-(M30+M31+M33+M33),'Period PSL data'!G9-(M10+M16+M22+M28),'PSL discount calculation'!L30-('PSL discount calculation'!M30+M31+M32+M33)))</f>
        <v>0</v>
      </c>
      <c r="N34" s="168"/>
      <c r="O34" s="140">
        <f>IF(O30+O31+O32+O33=N30,0,IF('Period PSL data'!H9-(O10+O16+O22+O28)&lt;'PSL discount calculation'!N30-(O30+O31+O32+O33),'Period PSL data'!H9-(O10+O16+O22+O28),'PSL discount calculation'!N30-('PSL discount calculation'!O30+O31+O32+O33)))</f>
        <v>0</v>
      </c>
      <c r="P34" s="168"/>
      <c r="Q34" s="140">
        <f>IF(Q30+Q31+Q32+Q33=P30,0,IF('Period PSL data'!I9-(Q10+Q16+Q22+Q28)&lt;'PSL discount calculation'!P30-(Q30+Q31+Q32+Q33),'Period PSL data'!I9-(Q10+Q16+Q22+Q28),'PSL discount calculation'!P30-('PSL discount calculation'!Q30+Q31+Q32+Q33)))</f>
        <v>0</v>
      </c>
      <c r="R34" s="168"/>
      <c r="S34" s="140">
        <f>IF(S30+S31+S32+S33=R30,0,IF('Period PSL data'!J9-(S10+S16+S22+S28)&lt;'PSL discount calculation'!R30-(S30+S31+S32+S33),'Period PSL data'!J9-(S10+S16+S22+S28),'PSL discount calculation'!R30-('PSL discount calculation'!S30+S31+S32+S33)))</f>
        <v>0</v>
      </c>
      <c r="T34" s="168"/>
      <c r="U34" s="140">
        <f>IF(U30+U31+U32+U33=T30,0,IF('Period PSL data'!K9-(U10+U16+U22+U28)&lt;'PSL discount calculation'!T30-(U30+U31+U32+U33),'Period PSL data'!K9-(U10+U16+U22+U28),'PSL discount calculation'!T30-('PSL discount calculation'!U30+U31+U32+U33)))</f>
        <v>0</v>
      </c>
      <c r="V34" s="168"/>
      <c r="W34" s="140">
        <f>IF(W30+W31+W32+W33=V30,0,IF('Period PSL data'!L9-(W10+W16+W22+W28)&lt;'PSL discount calculation'!V30-(W30+W31+W32+W33),'Period PSL data'!L9-(W10+W16+W22+W28),'PSL discount calculation'!V30-('PSL discount calculation'!W30+W31+W32+W33)))</f>
        <v>0</v>
      </c>
      <c r="X34" s="168"/>
      <c r="Y34" s="140">
        <f>IF(Y30+Y31+Y32+Y33=X30,0,IF('Period PSL data'!M9-(Y10+Y16+Y22+Y28)&lt;'PSL discount calculation'!X30-(Y30+Y31+Y32+Y33),'Period PSL data'!M9-(Y10+Y16+Y22+Y28),'PSL discount calculation'!X30-('PSL discount calculation'!Y30+Y31+Y32+Y33)))</f>
        <v>0</v>
      </c>
      <c r="Z34" s="168"/>
      <c r="AA34" s="140">
        <f>IF(AA30+AA31+AA32+AA33=Z30,0,IF('Period PSL data'!N9-(AA10+AA16+AA22+AA28)&lt;'PSL discount calculation'!Z30-(AA30+AA31+AA32+AA33),'Period PSL data'!N9-(AA10+AA16+AA22+AA28),'PSL discount calculation'!Z30-('PSL discount calculation'!AA30+AA31+AA32+AA33)))</f>
        <v>0</v>
      </c>
      <c r="AB34" s="168"/>
      <c r="AC34" s="140">
        <f>IF(AC30+AC31+AC32+AC33=AB30,0,IF('Period PSL data'!O9-(AC10+AC16+AC22+AC28)&lt;'PSL discount calculation'!AB30-(AC30+AC31+AC32+AC33),'Period PSL data'!O9-(AC10+AC16+AC22+AC28),'PSL discount calculation'!AB30-('PSL discount calculation'!AC30+AC31+AC32+AC33)))</f>
        <v>0</v>
      </c>
      <c r="AD34" s="136">
        <f t="shared" si="1"/>
        <v>0</v>
      </c>
    </row>
    <row r="35" spans="1:30" x14ac:dyDescent="0.35">
      <c r="A35" s="131"/>
      <c r="B35" s="156"/>
      <c r="C35" s="10" t="str">
        <f t="shared" si="2"/>
        <v>SMI Dbl</v>
      </c>
      <c r="D35" s="11">
        <f t="shared" si="2"/>
        <v>86.4</v>
      </c>
      <c r="E35" s="11">
        <f t="shared" si="6"/>
        <v>3.4560000000000004</v>
      </c>
      <c r="F35" s="168"/>
      <c r="G35" s="141">
        <f>IF(G30+G31+G32+G33+G34=F30,0,IF('Period PSL data'!D10-(G11+G17+G23+G29)&lt;'PSL discount calculation'!F30-(G30+G31+G32+G33+G34),'Period PSL data'!D10-(G11+G17+G23+G29),'PSL discount calculation'!F30-('PSL discount calculation'!G30+G31+G32+G33+G34)))</f>
        <v>0</v>
      </c>
      <c r="H35" s="168"/>
      <c r="I35" s="141">
        <f>IF(I30+I31+I32+I33+I34=H30,0,IF('Period PSL data'!E10-(I11+I17+I23+I29)&lt;'PSL discount calculation'!H30-(I30+I31+I32+I33+I34),'Period PSL data'!E10-(I11+I17+I23+I29),'PSL discount calculation'!H30-('PSL discount calculation'!I30+I31+I32+I33+I34)))</f>
        <v>0</v>
      </c>
      <c r="J35" s="168"/>
      <c r="K35" s="141">
        <f>IF(K30+K31+K32+K33+K34=J30,0,IF('Period PSL data'!F10-(K11+K17+K23+K29)&lt;'PSL discount calculation'!J30-(K30+K31+K32+K33+K34),'Period PSL data'!F10-(K11+K17+K23+K29),'PSL discount calculation'!J30-('PSL discount calculation'!K30+K31+K32+K33+K34)))</f>
        <v>0</v>
      </c>
      <c r="L35" s="168"/>
      <c r="M35" s="141">
        <f>IF(M30+M31+M32+M33+M34=L30,0,IF('Period PSL data'!G10-(M11+M17+M23+M29)&lt;'PSL discount calculation'!L30-(M30+M31+M32+M33+M34),'Period PSL data'!G10-(M11+M17+M23+M29),'PSL discount calculation'!L30-('PSL discount calculation'!M30+M31+M32+M33+M34)))</f>
        <v>0</v>
      </c>
      <c r="N35" s="168"/>
      <c r="O35" s="141">
        <f>IF(O30+O31+O32+O33+O34=N30,0,IF('Period PSL data'!H10-(O11+O17+O23+O29)&lt;'PSL discount calculation'!N30-(O30+O31+O32+O33+O34),'Period PSL data'!H10-(O11+O17+O23+O29),'PSL discount calculation'!N30-('PSL discount calculation'!O30+O31+O32+O33+O34)))</f>
        <v>0</v>
      </c>
      <c r="P35" s="168"/>
      <c r="Q35" s="141">
        <f>IF(Q30+Q31+Q32+Q33+Q34=P30,0,IF('Period PSL data'!I10-(Q11+Q17+Q23+Q29)&lt;'PSL discount calculation'!P30-(Q30+Q31+Q32+Q33+Q34),'Period PSL data'!I10-(Q11+Q17+Q23+Q29),'PSL discount calculation'!P30-('PSL discount calculation'!Q30+Q31+Q32+Q33+Q34)))</f>
        <v>0</v>
      </c>
      <c r="R35" s="168"/>
      <c r="S35" s="141">
        <f>IF(S30+S31+S32+S33+S34=R30,0,IF('Period PSL data'!J10-(S11+S17+S23+S29)&lt;'PSL discount calculation'!R30-(S30+S31+S32+S33+S34),'Period PSL data'!J10-(S11+S17+S23+S29),'PSL discount calculation'!R30-('PSL discount calculation'!S30+S31+S32+S33+S34)))</f>
        <v>0</v>
      </c>
      <c r="T35" s="168"/>
      <c r="U35" s="141">
        <f>IF(U30+U31+U32+U33+U34=T30,0,IF('Period PSL data'!K10-(U11+U17+U23+U29)&lt;'PSL discount calculation'!T30-(U30+U31+U32+U33+U34),'Period PSL data'!K10-(U11+U17+U23+U29),'PSL discount calculation'!T30-('PSL discount calculation'!U30+U31+U32+U33+U34)))</f>
        <v>0</v>
      </c>
      <c r="V35" s="168"/>
      <c r="W35" s="141">
        <f>IF(W30+W31+W32+W33+W34=V30,0,IF('Period PSL data'!L10-(W11+W17+W23+W29)&lt;'PSL discount calculation'!V30-(W30+W31+W32+W33+W34),'Period PSL data'!L10-(W11+W17+W23+W29),'PSL discount calculation'!V30-('PSL discount calculation'!W30+W31+W32+W33+W34)))</f>
        <v>0</v>
      </c>
      <c r="X35" s="168"/>
      <c r="Y35" s="141">
        <f>IF(Y30+Y31+Y32+Y33+Y34=X30,0,IF('Period PSL data'!M10-(Y11+Y17+Y23+Y29)&lt;'PSL discount calculation'!X30-(Y30+Y31+Y32+Y33+Y34),'Period PSL data'!M10-(Y11+Y17+Y23+Y29),'PSL discount calculation'!X30-('PSL discount calculation'!Y30+Y31+Y32+Y33+Y34)))</f>
        <v>0</v>
      </c>
      <c r="Z35" s="168"/>
      <c r="AA35" s="141">
        <f>IF(AA30+AA31+AA32+AA33+AA34=Z30,0,IF('Period PSL data'!N10-(AA11+AA17+AA23+AA29)&lt;'PSL discount calculation'!Z30-(AA30+AA31+AA32+AA33+AA34),'Period PSL data'!N10-(AA11+AA17+AA23+AA29),'PSL discount calculation'!Z30-('PSL discount calculation'!AA30+AA31+AA32+AA33+AA34)))</f>
        <v>0</v>
      </c>
      <c r="AB35" s="168"/>
      <c r="AC35" s="141">
        <f>IF(AC30+AC31+AC32+AC33+AC34=AB30,0,IF('Period PSL data'!O10-(AC11+AC17+AC23+AC29)&lt;'PSL discount calculation'!AB30-(AC30+AC31+AC32+AC33+AC34),'Period PSL data'!O10-(AC11+AC17+AC23+AC29),'PSL discount calculation'!AB30-('PSL discount calculation'!AC30+AC31+AC32+AC33+AC34)))</f>
        <v>0</v>
      </c>
      <c r="AD35" s="136">
        <f t="shared" si="1"/>
        <v>0</v>
      </c>
    </row>
    <row r="36" spans="1:30" x14ac:dyDescent="0.35">
      <c r="A36" s="131">
        <v>6</v>
      </c>
      <c r="B36" s="167">
        <f>'Annual data (rates, Bands, disc'!E8</f>
        <v>0.02</v>
      </c>
      <c r="C36" s="10" t="str">
        <f t="shared" si="2"/>
        <v>OV Single</v>
      </c>
      <c r="D36" s="11">
        <f t="shared" si="2"/>
        <v>65.900000000000006</v>
      </c>
      <c r="E36" s="11">
        <f>D36*$B$36</f>
        <v>1.3180000000000001</v>
      </c>
      <c r="F36" s="168"/>
      <c r="G36" s="134">
        <f>'Period PSL data'!D5-('PSL discount calculation'!G30+G24+G18+G12+G6)</f>
        <v>0</v>
      </c>
      <c r="H36" s="168"/>
      <c r="I36" s="134">
        <f>'Period PSL data'!E5-('PSL discount calculation'!I30+I24+I18+I12+I6)</f>
        <v>0</v>
      </c>
      <c r="J36" s="169"/>
      <c r="K36" s="134">
        <f>'Period PSL data'!F5-('PSL discount calculation'!K30+K24+K18+K12+K6)</f>
        <v>0</v>
      </c>
      <c r="L36" s="169"/>
      <c r="M36" s="134">
        <f>'Period PSL data'!G5-('PSL discount calculation'!M30+M24+M18+M12+M6)</f>
        <v>0</v>
      </c>
      <c r="N36" s="169"/>
      <c r="O36" s="134">
        <f>'Period PSL data'!H5-('PSL discount calculation'!O30+O24+O18+O12+O6)</f>
        <v>0</v>
      </c>
      <c r="P36" s="169"/>
      <c r="Q36" s="134">
        <f>'Period PSL data'!I5-('PSL discount calculation'!Q30+Q24+Q18+Q12+Q6)</f>
        <v>0</v>
      </c>
      <c r="R36" s="169"/>
      <c r="S36" s="134">
        <f>'Period PSL data'!J5-('PSL discount calculation'!S30+S24+S18+S12+S6)</f>
        <v>0</v>
      </c>
      <c r="T36" s="169"/>
      <c r="U36" s="134">
        <f>'Period PSL data'!K5-('PSL discount calculation'!U30+U24+U18+U12+U6)</f>
        <v>0</v>
      </c>
      <c r="V36" s="169"/>
      <c r="W36" s="134">
        <f>'Period PSL data'!L5-('PSL discount calculation'!W30+W24+W18+W12+W6)</f>
        <v>0</v>
      </c>
      <c r="X36" s="169"/>
      <c r="Y36" s="134">
        <f>'Period PSL data'!M5-('PSL discount calculation'!Y30+Y24+Y18+Y12+Y6)</f>
        <v>0</v>
      </c>
      <c r="Z36" s="169"/>
      <c r="AA36" s="134">
        <f>'Period PSL data'!N5-('PSL discount calculation'!AA30+AA24+AA18+AA12+AA6)</f>
        <v>0</v>
      </c>
      <c r="AB36" s="169"/>
      <c r="AC36" s="134">
        <f>'Period PSL data'!O5-('PSL discount calculation'!AC30+AC24+AC18+AC12+AC6)</f>
        <v>0</v>
      </c>
      <c r="AD36" s="136">
        <f t="shared" si="1"/>
        <v>0</v>
      </c>
    </row>
    <row r="37" spans="1:30" x14ac:dyDescent="0.35">
      <c r="A37" s="131"/>
      <c r="B37" s="156"/>
      <c r="C37" s="10" t="str">
        <f t="shared" si="2"/>
        <v>OV 1.5</v>
      </c>
      <c r="D37" s="11">
        <f t="shared" si="2"/>
        <v>98.850000000000009</v>
      </c>
      <c r="E37" s="11">
        <f t="shared" ref="E37:E41" si="7">D37*$B$36</f>
        <v>1.9770000000000003</v>
      </c>
      <c r="F37" s="168"/>
      <c r="G37" s="137">
        <f>'Period PSL data'!D6-('PSL discount calculation'!G31+G25+G19+G13+G7)</f>
        <v>0</v>
      </c>
      <c r="H37" s="168"/>
      <c r="I37" s="137">
        <f>'Period PSL data'!E6-('PSL discount calculation'!I31+I25+I19+I13+I7)</f>
        <v>0</v>
      </c>
      <c r="J37" s="169"/>
      <c r="K37" s="137">
        <f>'Period PSL data'!F6-('PSL discount calculation'!K31+K25+K19+K13+K7)</f>
        <v>0</v>
      </c>
      <c r="L37" s="169"/>
      <c r="M37" s="137">
        <f>'Period PSL data'!G6-('PSL discount calculation'!M31+M25+M19+M13+M7)</f>
        <v>0</v>
      </c>
      <c r="N37" s="169"/>
      <c r="O37" s="137">
        <f>'Period PSL data'!H6-('PSL discount calculation'!O31+O25+O19+O13+O7)</f>
        <v>0</v>
      </c>
      <c r="P37" s="169"/>
      <c r="Q37" s="137">
        <f>'Period PSL data'!I6-('PSL discount calculation'!Q31+Q25+Q19+Q13+Q7)</f>
        <v>0</v>
      </c>
      <c r="R37" s="169"/>
      <c r="S37" s="137">
        <f>'Period PSL data'!J6-('PSL discount calculation'!S31+S25+S19+S13+S7)</f>
        <v>0</v>
      </c>
      <c r="T37" s="169"/>
      <c r="U37" s="137">
        <f>'Period PSL data'!K6-('PSL discount calculation'!U31+U25+U19+U13+U7)</f>
        <v>0</v>
      </c>
      <c r="V37" s="169"/>
      <c r="W37" s="137">
        <f>'Period PSL data'!L6-('PSL discount calculation'!W31+W25+W19+W13+W7)</f>
        <v>0</v>
      </c>
      <c r="X37" s="169"/>
      <c r="Y37" s="137">
        <f>'Period PSL data'!M6-('PSL discount calculation'!Y31+Y25+Y19+Y13+Y7)</f>
        <v>0</v>
      </c>
      <c r="Z37" s="169"/>
      <c r="AA37" s="137">
        <f>'Period PSL data'!N6-('PSL discount calculation'!AA31+AA25+AA19+AA13+AA7)</f>
        <v>0</v>
      </c>
      <c r="AB37" s="169"/>
      <c r="AC37" s="137">
        <f>'Period PSL data'!O6-('PSL discount calculation'!AC31+AC25+AC19+AC13+AC7)</f>
        <v>0</v>
      </c>
      <c r="AD37" s="136">
        <f t="shared" si="1"/>
        <v>0</v>
      </c>
    </row>
    <row r="38" spans="1:30" x14ac:dyDescent="0.35">
      <c r="A38" s="131"/>
      <c r="B38" s="156"/>
      <c r="C38" s="10" t="str">
        <f t="shared" si="2"/>
        <v>OV Dbl</v>
      </c>
      <c r="D38" s="11">
        <f t="shared" si="2"/>
        <v>131.80000000000001</v>
      </c>
      <c r="E38" s="11">
        <f t="shared" si="7"/>
        <v>2.6360000000000001</v>
      </c>
      <c r="F38" s="168"/>
      <c r="G38" s="138">
        <f>'Period PSL data'!D7-('PSL discount calculation'!G32+G26+G20+G14+G8)</f>
        <v>0</v>
      </c>
      <c r="H38" s="168"/>
      <c r="I38" s="138">
        <f>'Period PSL data'!E7-('PSL discount calculation'!I32+I26+I20+I14+I8)</f>
        <v>0</v>
      </c>
      <c r="J38" s="169"/>
      <c r="K38" s="138">
        <f>'Period PSL data'!F7-('PSL discount calculation'!K32+K26+K20+K14+K8)</f>
        <v>0</v>
      </c>
      <c r="L38" s="169"/>
      <c r="M38" s="138">
        <f>'Period PSL data'!G7-('PSL discount calculation'!M32+M26+M20+M14+M8)</f>
        <v>0</v>
      </c>
      <c r="N38" s="169"/>
      <c r="O38" s="138">
        <f>'Period PSL data'!H7-('PSL discount calculation'!O32+O26+O20+O14+O8)</f>
        <v>0</v>
      </c>
      <c r="P38" s="169"/>
      <c r="Q38" s="138">
        <f>'Period PSL data'!I7-('PSL discount calculation'!Q32+Q26+Q20+Q14+Q8)</f>
        <v>0</v>
      </c>
      <c r="R38" s="169"/>
      <c r="S38" s="138">
        <f>'Period PSL data'!J7-('PSL discount calculation'!S32+S26+S20+S14+S8)</f>
        <v>0</v>
      </c>
      <c r="T38" s="169"/>
      <c r="U38" s="138">
        <f>'Period PSL data'!K7-('PSL discount calculation'!U32+U26+U20+U14+U8)</f>
        <v>0</v>
      </c>
      <c r="V38" s="169"/>
      <c r="W38" s="138">
        <f>'Period PSL data'!L7-('PSL discount calculation'!W32+W26+W20+W14+W8)</f>
        <v>0</v>
      </c>
      <c r="X38" s="169"/>
      <c r="Y38" s="138">
        <f>'Period PSL data'!M7-('PSL discount calculation'!Y32+Y26+Y20+Y14+Y8)</f>
        <v>0</v>
      </c>
      <c r="Z38" s="169"/>
      <c r="AA38" s="138">
        <f>'Period PSL data'!N7-('PSL discount calculation'!AA32+AA26+AA20+AA14+AA8)</f>
        <v>0</v>
      </c>
      <c r="AB38" s="169"/>
      <c r="AC38" s="138">
        <f>'Period PSL data'!O7-('PSL discount calculation'!AC32+AC26+AC20+AC14+AC8)</f>
        <v>0</v>
      </c>
      <c r="AD38" s="136">
        <f t="shared" si="1"/>
        <v>0</v>
      </c>
    </row>
    <row r="39" spans="1:30" x14ac:dyDescent="0.35">
      <c r="A39" s="131"/>
      <c r="B39" s="156"/>
      <c r="C39" s="10" t="str">
        <f t="shared" si="2"/>
        <v>SMI Single</v>
      </c>
      <c r="D39" s="11">
        <f t="shared" si="2"/>
        <v>43.2</v>
      </c>
      <c r="E39" s="11">
        <f t="shared" si="7"/>
        <v>0.8640000000000001</v>
      </c>
      <c r="F39" s="168"/>
      <c r="G39" s="139">
        <f>'Period PSL data'!D8-('PSL discount calculation'!G33+G27+G21+G15+G9)</f>
        <v>0</v>
      </c>
      <c r="H39" s="168"/>
      <c r="I39" s="139">
        <f>'Period PSL data'!E8-('PSL discount calculation'!I33+I27+I21+I15+I9)</f>
        <v>0</v>
      </c>
      <c r="J39" s="169"/>
      <c r="K39" s="139">
        <f>'Period PSL data'!F8-('PSL discount calculation'!K33+K27+K21+K15+K9)</f>
        <v>0</v>
      </c>
      <c r="L39" s="169"/>
      <c r="M39" s="139">
        <f>'Period PSL data'!G8-('PSL discount calculation'!M33+M27+M21+M15+M9)</f>
        <v>0</v>
      </c>
      <c r="N39" s="169"/>
      <c r="O39" s="139">
        <f>'Period PSL data'!H8-('PSL discount calculation'!O33+O27+O21+O15+O9)</f>
        <v>0</v>
      </c>
      <c r="P39" s="169"/>
      <c r="Q39" s="139">
        <f>'Period PSL data'!I8-('PSL discount calculation'!Q33+Q27+Q21+Q15+Q9)</f>
        <v>0</v>
      </c>
      <c r="R39" s="169"/>
      <c r="S39" s="139">
        <f>'Period PSL data'!J8-('PSL discount calculation'!S33+S27+S21+S15+S9)</f>
        <v>0</v>
      </c>
      <c r="T39" s="169"/>
      <c r="U39" s="139">
        <f>'Period PSL data'!K8-('PSL discount calculation'!U33+U27+U21+U15+U9)</f>
        <v>0</v>
      </c>
      <c r="V39" s="169"/>
      <c r="W39" s="139">
        <f>'Period PSL data'!L8-('PSL discount calculation'!W33+W27+W21+W15+W9)</f>
        <v>0</v>
      </c>
      <c r="X39" s="169"/>
      <c r="Y39" s="139">
        <f>'Period PSL data'!M8-('PSL discount calculation'!Y33+Y27+Y21+Y15+Y9)</f>
        <v>0</v>
      </c>
      <c r="Z39" s="169"/>
      <c r="AA39" s="139">
        <f>'Period PSL data'!N8-('PSL discount calculation'!AA33+AA27+AA21+AA15+AA9)</f>
        <v>0</v>
      </c>
      <c r="AB39" s="169"/>
      <c r="AC39" s="139">
        <f>'Period PSL data'!O8-('PSL discount calculation'!AC33+AC27+AC21+AC15+AC9)</f>
        <v>0</v>
      </c>
      <c r="AD39" s="136">
        <f t="shared" si="1"/>
        <v>0</v>
      </c>
    </row>
    <row r="40" spans="1:30" x14ac:dyDescent="0.35">
      <c r="A40" s="131"/>
      <c r="B40" s="156"/>
      <c r="C40" s="10" t="str">
        <f t="shared" si="2"/>
        <v>SMI 1.5</v>
      </c>
      <c r="D40" s="11">
        <f t="shared" si="2"/>
        <v>64.800000000000011</v>
      </c>
      <c r="E40" s="11">
        <f t="shared" si="7"/>
        <v>1.2960000000000003</v>
      </c>
      <c r="F40" s="168"/>
      <c r="G40" s="140">
        <f>'Period PSL data'!D9-('PSL discount calculation'!G34+G28+G22+G16+G10)</f>
        <v>0</v>
      </c>
      <c r="H40" s="168"/>
      <c r="I40" s="140">
        <f>'Period PSL data'!E9-('PSL discount calculation'!I34+I28+I22+I16+I10)</f>
        <v>0</v>
      </c>
      <c r="J40" s="169"/>
      <c r="K40" s="140">
        <f>'Period PSL data'!F9-('PSL discount calculation'!K34+K28+K22+K16+K10)</f>
        <v>0</v>
      </c>
      <c r="L40" s="169"/>
      <c r="M40" s="140">
        <f>'Period PSL data'!G9-('PSL discount calculation'!M34+M28+M22+M16+M10)</f>
        <v>0</v>
      </c>
      <c r="N40" s="169"/>
      <c r="O40" s="140">
        <f>'Period PSL data'!H9-('PSL discount calculation'!O34+O28+O22+O16+O10)</f>
        <v>0</v>
      </c>
      <c r="P40" s="169"/>
      <c r="Q40" s="140">
        <f>'Period PSL data'!I9-('PSL discount calculation'!Q34+Q28+Q22+Q16+Q10)</f>
        <v>0</v>
      </c>
      <c r="R40" s="169"/>
      <c r="S40" s="140">
        <f>'Period PSL data'!J9-('PSL discount calculation'!S34+S28+S22+S16+S10)</f>
        <v>0</v>
      </c>
      <c r="T40" s="169"/>
      <c r="U40" s="140">
        <f>'Period PSL data'!K9-('PSL discount calculation'!U34+U28+U22+U16+U10)</f>
        <v>0</v>
      </c>
      <c r="V40" s="169"/>
      <c r="W40" s="140">
        <f>'Period PSL data'!L9-('PSL discount calculation'!W34+W28+W22+W16+W10)</f>
        <v>0</v>
      </c>
      <c r="X40" s="169"/>
      <c r="Y40" s="140">
        <f>'Period PSL data'!M9-('PSL discount calculation'!Y34+Y28+Y22+Y16+Y10)</f>
        <v>0</v>
      </c>
      <c r="Z40" s="169"/>
      <c r="AA40" s="140">
        <f>'Period PSL data'!N9-('PSL discount calculation'!AA34+AA28+AA22+AA16+AA10)</f>
        <v>0</v>
      </c>
      <c r="AB40" s="169"/>
      <c r="AC40" s="140">
        <f>'Period PSL data'!O9-('PSL discount calculation'!AC34+AC28+AC22+AC16+AC10)</f>
        <v>0</v>
      </c>
      <c r="AD40" s="136">
        <f t="shared" si="1"/>
        <v>0</v>
      </c>
    </row>
    <row r="41" spans="1:30" x14ac:dyDescent="0.35">
      <c r="A41" s="131"/>
      <c r="B41" s="156"/>
      <c r="C41" s="10" t="str">
        <f t="shared" si="2"/>
        <v>SMI Dbl</v>
      </c>
      <c r="D41" s="11">
        <f t="shared" si="2"/>
        <v>86.4</v>
      </c>
      <c r="E41" s="11">
        <f t="shared" si="7"/>
        <v>1.7280000000000002</v>
      </c>
      <c r="F41" s="168"/>
      <c r="G41" s="141">
        <f>'Period PSL data'!D10-('PSL discount calculation'!G35+G29+G23+G17+G11)</f>
        <v>0</v>
      </c>
      <c r="H41" s="168"/>
      <c r="I41" s="141">
        <f>'Period PSL data'!E10-('PSL discount calculation'!I35+I29+I23+I17+I11)</f>
        <v>0</v>
      </c>
      <c r="J41" s="169"/>
      <c r="K41" s="141">
        <f>'Period PSL data'!F10-('PSL discount calculation'!K35+K29+K23+K17+K11)</f>
        <v>0</v>
      </c>
      <c r="L41" s="169"/>
      <c r="M41" s="141">
        <f>'Period PSL data'!G10-('PSL discount calculation'!M35+M29+M23+M17+M11)</f>
        <v>0</v>
      </c>
      <c r="N41" s="169"/>
      <c r="O41" s="141">
        <f>'Period PSL data'!H10-('PSL discount calculation'!O35+O29+O23+O17+O11)</f>
        <v>0</v>
      </c>
      <c r="P41" s="169"/>
      <c r="Q41" s="141">
        <f>'Period PSL data'!I10-('PSL discount calculation'!Q35+Q29+Q23+Q17+Q11)</f>
        <v>0</v>
      </c>
      <c r="R41" s="169"/>
      <c r="S41" s="141">
        <f>'Period PSL data'!J10-('PSL discount calculation'!S35+S29+S23+S17+S11)</f>
        <v>0</v>
      </c>
      <c r="T41" s="169"/>
      <c r="U41" s="141">
        <f>'Period PSL data'!K10-('PSL discount calculation'!U35+U29+U23+U17+U11)</f>
        <v>0</v>
      </c>
      <c r="V41" s="169"/>
      <c r="W41" s="141">
        <f>'Period PSL data'!L10-('PSL discount calculation'!W35+W29+W23+W17+W11)</f>
        <v>0</v>
      </c>
      <c r="X41" s="169"/>
      <c r="Y41" s="141">
        <f>'Period PSL data'!M10-('PSL discount calculation'!Y35+Y29+Y23+Y17+Y11)</f>
        <v>0</v>
      </c>
      <c r="Z41" s="169"/>
      <c r="AA41" s="141">
        <f>'Period PSL data'!N10-('PSL discount calculation'!AA35+AA29+AA23+AA17+AA11)</f>
        <v>0</v>
      </c>
      <c r="AB41" s="169"/>
      <c r="AC41" s="141">
        <f>'Period PSL data'!O10-('PSL discount calculation'!AC35+AC29+AC23+AC17+AC11)</f>
        <v>0</v>
      </c>
      <c r="AD41" s="136">
        <f t="shared" si="1"/>
        <v>0</v>
      </c>
    </row>
    <row r="42" spans="1:30" x14ac:dyDescent="0.35">
      <c r="G42" s="170"/>
    </row>
    <row r="43" spans="1:30" x14ac:dyDescent="0.35">
      <c r="G43" s="171">
        <f t="shared" ref="G43:G48" si="8">G6+G12+G18+G24+G30+G36</f>
        <v>0</v>
      </c>
      <c r="H43" s="106"/>
      <c r="I43" s="171">
        <f t="shared" ref="I43:I48" si="9">I6+I12+I18+I24+I30+I36</f>
        <v>0</v>
      </c>
      <c r="J43" s="109"/>
      <c r="K43" s="171">
        <f t="shared" ref="K43:K48" si="10">K6+K12+K18+K24+K30+K36</f>
        <v>0</v>
      </c>
      <c r="L43" s="109"/>
      <c r="M43" s="171">
        <f t="shared" ref="M43:M48" si="11">M6+M12+M18+M24+M30+M36</f>
        <v>0</v>
      </c>
      <c r="O43" s="171">
        <f t="shared" ref="O43:O48" si="12">O6+O12+O18+O24+O30+O36</f>
        <v>0</v>
      </c>
      <c r="Q43" s="171">
        <f t="shared" ref="Q43:Q48" si="13">Q6+Q12+Q18+Q24+Q30+Q36</f>
        <v>0</v>
      </c>
      <c r="S43" s="171">
        <f t="shared" ref="S43:S48" si="14">S6+S12+S18+S24+S30+S36</f>
        <v>0</v>
      </c>
      <c r="U43" s="171">
        <f t="shared" ref="U43:U48" si="15">U6+U12+U18+U24+U30+U36</f>
        <v>0</v>
      </c>
      <c r="W43" s="171">
        <f t="shared" ref="W43:W48" si="16">W6+W12+W18+W24+W30+W36</f>
        <v>0</v>
      </c>
      <c r="Y43" s="171">
        <f t="shared" ref="Y43:Y48" si="17">Y6+Y12+Y18+Y24+Y30+Y36</f>
        <v>0</v>
      </c>
      <c r="AA43" s="171">
        <f t="shared" ref="AA43:AA48" si="18">AA6+AA12+AA18+AA24+AA30+AA36</f>
        <v>0</v>
      </c>
      <c r="AC43" s="171">
        <f t="shared" ref="AC43:AC48" si="19">AC6+AC12+AC18+AC24+AC30+AC36</f>
        <v>0</v>
      </c>
    </row>
    <row r="44" spans="1:30" x14ac:dyDescent="0.35">
      <c r="G44" s="172">
        <f t="shared" si="8"/>
        <v>0</v>
      </c>
      <c r="H44" s="106"/>
      <c r="I44" s="172">
        <f t="shared" si="9"/>
        <v>0</v>
      </c>
      <c r="J44" s="109"/>
      <c r="K44" s="172">
        <f t="shared" si="10"/>
        <v>0</v>
      </c>
      <c r="L44" s="109"/>
      <c r="M44" s="172">
        <f t="shared" si="11"/>
        <v>0</v>
      </c>
      <c r="O44" s="172">
        <f t="shared" si="12"/>
        <v>0</v>
      </c>
      <c r="Q44" s="172">
        <f t="shared" si="13"/>
        <v>0</v>
      </c>
      <c r="S44" s="172">
        <f t="shared" si="14"/>
        <v>0</v>
      </c>
      <c r="U44" s="172">
        <f t="shared" si="15"/>
        <v>0</v>
      </c>
      <c r="W44" s="172">
        <f t="shared" si="16"/>
        <v>0</v>
      </c>
      <c r="Y44" s="172">
        <f t="shared" si="17"/>
        <v>0</v>
      </c>
      <c r="AA44" s="172">
        <f t="shared" si="18"/>
        <v>0</v>
      </c>
      <c r="AC44" s="172">
        <f t="shared" si="19"/>
        <v>0</v>
      </c>
    </row>
    <row r="45" spans="1:30" x14ac:dyDescent="0.35">
      <c r="G45" s="173">
        <f t="shared" si="8"/>
        <v>0</v>
      </c>
      <c r="H45" s="106"/>
      <c r="I45" s="173">
        <f t="shared" si="9"/>
        <v>0</v>
      </c>
      <c r="J45" s="109"/>
      <c r="K45" s="173">
        <f t="shared" si="10"/>
        <v>0</v>
      </c>
      <c r="L45" s="109"/>
      <c r="M45" s="173">
        <f t="shared" si="11"/>
        <v>0</v>
      </c>
      <c r="O45" s="173">
        <f t="shared" si="12"/>
        <v>0</v>
      </c>
      <c r="Q45" s="173">
        <f t="shared" si="13"/>
        <v>0</v>
      </c>
      <c r="S45" s="173">
        <f t="shared" si="14"/>
        <v>0</v>
      </c>
      <c r="U45" s="173">
        <f t="shared" si="15"/>
        <v>0</v>
      </c>
      <c r="W45" s="173">
        <f t="shared" si="16"/>
        <v>0</v>
      </c>
      <c r="Y45" s="173">
        <f t="shared" si="17"/>
        <v>0</v>
      </c>
      <c r="AA45" s="173">
        <f t="shared" si="18"/>
        <v>0</v>
      </c>
      <c r="AC45" s="173">
        <f t="shared" si="19"/>
        <v>0</v>
      </c>
    </row>
    <row r="46" spans="1:30" x14ac:dyDescent="0.35">
      <c r="G46" s="174">
        <f t="shared" si="8"/>
        <v>0</v>
      </c>
      <c r="H46" s="106"/>
      <c r="I46" s="174">
        <f t="shared" si="9"/>
        <v>0</v>
      </c>
      <c r="J46" s="109"/>
      <c r="K46" s="174">
        <f t="shared" si="10"/>
        <v>0</v>
      </c>
      <c r="L46" s="109"/>
      <c r="M46" s="174">
        <f t="shared" si="11"/>
        <v>0</v>
      </c>
      <c r="O46" s="174">
        <f t="shared" si="12"/>
        <v>0</v>
      </c>
      <c r="Q46" s="174">
        <f t="shared" si="13"/>
        <v>0</v>
      </c>
      <c r="S46" s="174">
        <f t="shared" si="14"/>
        <v>0</v>
      </c>
      <c r="U46" s="174">
        <f t="shared" si="15"/>
        <v>0</v>
      </c>
      <c r="W46" s="174">
        <f t="shared" si="16"/>
        <v>0</v>
      </c>
      <c r="Y46" s="174">
        <f t="shared" si="17"/>
        <v>0</v>
      </c>
      <c r="AA46" s="174">
        <f t="shared" si="18"/>
        <v>0</v>
      </c>
      <c r="AC46" s="174">
        <f t="shared" si="19"/>
        <v>0</v>
      </c>
    </row>
    <row r="47" spans="1:30" x14ac:dyDescent="0.35">
      <c r="G47" s="175">
        <f t="shared" si="8"/>
        <v>0</v>
      </c>
      <c r="H47" s="106"/>
      <c r="I47" s="175">
        <f t="shared" si="9"/>
        <v>0</v>
      </c>
      <c r="J47" s="176"/>
      <c r="K47" s="175">
        <f t="shared" si="10"/>
        <v>0</v>
      </c>
      <c r="L47" s="109"/>
      <c r="M47" s="175">
        <f t="shared" si="11"/>
        <v>0</v>
      </c>
      <c r="O47" s="175">
        <f t="shared" si="12"/>
        <v>0</v>
      </c>
      <c r="Q47" s="175">
        <f t="shared" si="13"/>
        <v>0</v>
      </c>
      <c r="S47" s="175">
        <f t="shared" si="14"/>
        <v>0</v>
      </c>
      <c r="U47" s="175">
        <f t="shared" si="15"/>
        <v>0</v>
      </c>
      <c r="W47" s="175">
        <f t="shared" si="16"/>
        <v>0</v>
      </c>
      <c r="Y47" s="175">
        <f t="shared" si="17"/>
        <v>0</v>
      </c>
      <c r="AA47" s="175">
        <f t="shared" si="18"/>
        <v>0</v>
      </c>
      <c r="AC47" s="175">
        <f t="shared" si="19"/>
        <v>0</v>
      </c>
    </row>
    <row r="48" spans="1:30" x14ac:dyDescent="0.35">
      <c r="G48" s="177">
        <f t="shared" si="8"/>
        <v>0</v>
      </c>
      <c r="H48" s="106"/>
      <c r="I48" s="177">
        <f t="shared" si="9"/>
        <v>0</v>
      </c>
      <c r="J48" s="109"/>
      <c r="K48" s="177">
        <f t="shared" si="10"/>
        <v>0</v>
      </c>
      <c r="L48" s="109"/>
      <c r="M48" s="177">
        <f t="shared" si="11"/>
        <v>0</v>
      </c>
      <c r="O48" s="177">
        <f t="shared" si="12"/>
        <v>0</v>
      </c>
      <c r="Q48" s="177">
        <f t="shared" si="13"/>
        <v>0</v>
      </c>
      <c r="S48" s="177">
        <f t="shared" si="14"/>
        <v>0</v>
      </c>
      <c r="U48" s="177">
        <f t="shared" si="15"/>
        <v>0</v>
      </c>
      <c r="W48" s="177">
        <f t="shared" si="16"/>
        <v>0</v>
      </c>
      <c r="Y48" s="177">
        <f t="shared" si="17"/>
        <v>0</v>
      </c>
      <c r="AA48" s="177">
        <f t="shared" si="18"/>
        <v>0</v>
      </c>
      <c r="AC48" s="177">
        <f t="shared" si="19"/>
        <v>0</v>
      </c>
    </row>
    <row r="49" spans="1:29" s="20" customFormat="1" x14ac:dyDescent="0.35">
      <c r="A49" s="81"/>
      <c r="B49" s="44"/>
      <c r="C49" s="36"/>
      <c r="D49" s="36"/>
      <c r="E49" s="82"/>
      <c r="G49"/>
      <c r="I49"/>
      <c r="K49" s="9"/>
      <c r="M49"/>
      <c r="O49" s="9"/>
      <c r="Q49"/>
      <c r="S49"/>
      <c r="U49"/>
      <c r="W49"/>
      <c r="Y49"/>
      <c r="AA49"/>
      <c r="AC49"/>
    </row>
    <row r="50" spans="1:29" s="20" customFormat="1" x14ac:dyDescent="0.35">
      <c r="A50" s="178"/>
      <c r="B50" s="179"/>
      <c r="C50" s="180"/>
      <c r="D50" s="180"/>
      <c r="E50" s="181"/>
      <c r="F50" s="109"/>
      <c r="G50"/>
      <c r="I50"/>
      <c r="K50"/>
      <c r="M50"/>
      <c r="O50"/>
      <c r="Q50"/>
      <c r="S50"/>
      <c r="U50"/>
      <c r="W50"/>
      <c r="Y50"/>
      <c r="AA50"/>
      <c r="AC50"/>
    </row>
    <row r="51" spans="1:29" s="20" customFormat="1" x14ac:dyDescent="0.35">
      <c r="A51" s="178"/>
      <c r="B51" s="179"/>
      <c r="C51" s="180"/>
      <c r="D51" s="180"/>
      <c r="E51" s="181"/>
      <c r="F51" s="109"/>
      <c r="G51"/>
      <c r="I51"/>
      <c r="K51"/>
      <c r="M51"/>
      <c r="O51"/>
      <c r="Q51"/>
      <c r="S51"/>
      <c r="U51"/>
      <c r="W51"/>
      <c r="Y51"/>
      <c r="AA51"/>
      <c r="AC51"/>
    </row>
    <row r="52" spans="1:29" s="20" customFormat="1" x14ac:dyDescent="0.35">
      <c r="A52" s="178"/>
      <c r="B52" s="179"/>
      <c r="C52" s="180"/>
      <c r="D52" s="180"/>
      <c r="E52" s="181"/>
      <c r="F52" s="109"/>
      <c r="G52" s="106"/>
      <c r="I52"/>
      <c r="K52"/>
      <c r="M52"/>
      <c r="O52"/>
      <c r="Q52"/>
      <c r="S52"/>
      <c r="U52"/>
      <c r="W52"/>
      <c r="Y52"/>
      <c r="AA52"/>
      <c r="AC52"/>
    </row>
    <row r="53" spans="1:29" s="20" customFormat="1" x14ac:dyDescent="0.35">
      <c r="A53" s="178"/>
      <c r="B53" s="179"/>
      <c r="C53" s="180"/>
      <c r="D53" s="180"/>
      <c r="E53" s="181"/>
      <c r="F53" s="109"/>
      <c r="G53" s="106"/>
      <c r="I53"/>
      <c r="K53"/>
      <c r="M53"/>
      <c r="O53"/>
      <c r="Q53"/>
      <c r="S53"/>
      <c r="U53"/>
      <c r="W53"/>
      <c r="Y53"/>
      <c r="AA53"/>
      <c r="AC53"/>
    </row>
    <row r="54" spans="1:29" s="20" customFormat="1" x14ac:dyDescent="0.35">
      <c r="A54" s="178"/>
      <c r="B54" s="179"/>
      <c r="C54" s="180"/>
      <c r="D54" s="180"/>
      <c r="E54" s="181"/>
      <c r="F54" s="109"/>
      <c r="G54" s="106"/>
      <c r="I54"/>
      <c r="K54"/>
      <c r="M54"/>
      <c r="O54"/>
      <c r="Q54"/>
      <c r="S54"/>
      <c r="U54"/>
      <c r="W54"/>
      <c r="Y54"/>
      <c r="AA54"/>
      <c r="AC54"/>
    </row>
    <row r="55" spans="1:29" s="20" customFormat="1" x14ac:dyDescent="0.35">
      <c r="A55" s="178"/>
      <c r="B55" s="179"/>
      <c r="C55" s="182"/>
      <c r="D55" s="182"/>
      <c r="E55" s="181"/>
      <c r="G55" s="106"/>
      <c r="I55"/>
      <c r="K55"/>
      <c r="M55"/>
      <c r="O55"/>
      <c r="Q55"/>
      <c r="S55"/>
      <c r="U55"/>
      <c r="W55"/>
      <c r="Y55"/>
      <c r="AA55"/>
      <c r="AC55"/>
    </row>
    <row r="56" spans="1:29" x14ac:dyDescent="0.35">
      <c r="G56" s="106"/>
    </row>
    <row r="57" spans="1:29" s="20" customFormat="1" x14ac:dyDescent="0.35">
      <c r="A57"/>
      <c r="B57"/>
      <c r="C57"/>
      <c r="D57"/>
      <c r="E57" s="15"/>
      <c r="G57" s="106"/>
      <c r="I57"/>
      <c r="K57"/>
      <c r="M57"/>
      <c r="O57"/>
      <c r="Q57"/>
      <c r="S57"/>
      <c r="U57"/>
      <c r="W57"/>
      <c r="Y57"/>
      <c r="AA57"/>
      <c r="AC57"/>
    </row>
  </sheetData>
  <sheetProtection password="9C3E" sheet="1" objects="1" scenarios="1"/>
  <mergeCells count="16">
    <mergeCell ref="F3:AC3"/>
    <mergeCell ref="A4:A5"/>
    <mergeCell ref="B4:B5"/>
    <mergeCell ref="E4:E5"/>
    <mergeCell ref="F4:G4"/>
    <mergeCell ref="H4:I4"/>
    <mergeCell ref="J4:K4"/>
    <mergeCell ref="L4:M4"/>
    <mergeCell ref="N4:O4"/>
    <mergeCell ref="AB4:AC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  <pageSetup paperSize="9" orientation="landscape" r:id="rId1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S52"/>
  <sheetViews>
    <sheetView topLeftCell="D29" zoomScaleNormal="100" workbookViewId="0">
      <selection activeCell="H46" sqref="H46"/>
    </sheetView>
  </sheetViews>
  <sheetFormatPr defaultRowHeight="15.5" x14ac:dyDescent="0.35"/>
  <cols>
    <col min="1" max="1" width="4.4609375" bestFit="1" customWidth="1"/>
    <col min="2" max="2" width="6.84375" bestFit="1" customWidth="1"/>
    <col min="3" max="3" width="6.07421875" bestFit="1" customWidth="1"/>
    <col min="4" max="4" width="5.07421875" style="15" bestFit="1" customWidth="1"/>
    <col min="5" max="5" width="12.4609375" style="15" bestFit="1" customWidth="1"/>
    <col min="6" max="7" width="12.4609375" style="15" customWidth="1"/>
    <col min="8" max="8" width="12.07421875" customWidth="1"/>
    <col min="9" max="9" width="13.53515625" bestFit="1" customWidth="1"/>
    <col min="10" max="10" width="14.53515625" bestFit="1" customWidth="1"/>
    <col min="11" max="11" width="12" bestFit="1" customWidth="1"/>
    <col min="12" max="12" width="14.53515625" bestFit="1" customWidth="1"/>
    <col min="13" max="14" width="12" bestFit="1" customWidth="1"/>
    <col min="15" max="15" width="14.53515625" bestFit="1" customWidth="1"/>
    <col min="16" max="18" width="12" bestFit="1" customWidth="1"/>
    <col min="19" max="19" width="12.07421875" bestFit="1" customWidth="1"/>
    <col min="20" max="21" width="8.84375" customWidth="1"/>
  </cols>
  <sheetData>
    <row r="1" spans="1:19" ht="15" customHeight="1" x14ac:dyDescent="0.35">
      <c r="A1" s="218" t="s">
        <v>131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9" ht="15" customHeight="1" x14ac:dyDescent="0.35">
      <c r="A2" s="218"/>
      <c r="B2" s="218"/>
      <c r="C2" s="218"/>
      <c r="D2" s="218"/>
      <c r="E2" s="218"/>
      <c r="F2" s="218"/>
      <c r="G2" s="218"/>
      <c r="H2" s="218"/>
      <c r="I2" s="218"/>
      <c r="J2" s="218"/>
    </row>
    <row r="5" spans="1:19" ht="15" customHeight="1" x14ac:dyDescent="0.35">
      <c r="A5" s="205" t="s">
        <v>87</v>
      </c>
      <c r="B5" s="205" t="s">
        <v>83</v>
      </c>
      <c r="C5" s="205" t="s">
        <v>19</v>
      </c>
      <c r="D5" s="216" t="s">
        <v>102</v>
      </c>
      <c r="E5" s="216" t="s">
        <v>88</v>
      </c>
      <c r="F5" s="216" t="s">
        <v>132</v>
      </c>
      <c r="G5" s="211" t="s">
        <v>123</v>
      </c>
      <c r="H5" s="211" t="s">
        <v>112</v>
      </c>
      <c r="I5" s="211" t="s">
        <v>113</v>
      </c>
      <c r="J5" s="211" t="s">
        <v>114</v>
      </c>
      <c r="K5" s="211" t="s">
        <v>115</v>
      </c>
      <c r="L5" s="211" t="s">
        <v>116</v>
      </c>
      <c r="M5" s="211" t="s">
        <v>117</v>
      </c>
      <c r="N5" s="211" t="s">
        <v>118</v>
      </c>
      <c r="O5" s="211" t="s">
        <v>119</v>
      </c>
      <c r="P5" s="211" t="s">
        <v>120</v>
      </c>
      <c r="Q5" s="211" t="s">
        <v>121</v>
      </c>
      <c r="R5" s="211" t="s">
        <v>122</v>
      </c>
    </row>
    <row r="6" spans="1:19" x14ac:dyDescent="0.35">
      <c r="A6" s="206"/>
      <c r="B6" s="206"/>
      <c r="C6" s="206"/>
      <c r="D6" s="217"/>
      <c r="E6" s="217"/>
      <c r="F6" s="217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</row>
    <row r="7" spans="1:19" ht="20" x14ac:dyDescent="0.35">
      <c r="A7" s="131">
        <v>1</v>
      </c>
      <c r="B7" s="156">
        <f>'PSL discount calculation'!B6</f>
        <v>0.9</v>
      </c>
      <c r="C7" s="10" t="str">
        <f>'PSL discount calculation'!C6</f>
        <v>OV Single</v>
      </c>
      <c r="D7" s="11">
        <f>'PSL discount calculation'!D6</f>
        <v>65.900000000000006</v>
      </c>
      <c r="E7" s="11">
        <f>'PSL discount calculation'!E6</f>
        <v>59.310000000000009</v>
      </c>
      <c r="F7" s="11">
        <f>D7-E7</f>
        <v>6.5899999999999963</v>
      </c>
      <c r="G7" s="13">
        <f>'PSL discount calculation'!G6*'PSL Invoice '!F7</f>
        <v>0</v>
      </c>
      <c r="H7" s="13">
        <f>'PSL discount calculation'!I6*'PSL Invoice '!F7</f>
        <v>0</v>
      </c>
      <c r="I7" s="13">
        <f>'PSL discount calculation'!K6*'PSL Invoice '!F7</f>
        <v>0</v>
      </c>
      <c r="J7" s="13">
        <f>'PSL discount calculation'!M6*'PSL Invoice '!$F7</f>
        <v>0</v>
      </c>
      <c r="K7" s="13">
        <f>'PSL discount calculation'!O6*'PSL Invoice '!$F7</f>
        <v>0</v>
      </c>
      <c r="L7" s="13">
        <f>'PSL discount calculation'!Q6*'PSL Invoice '!$F7</f>
        <v>0</v>
      </c>
      <c r="M7" s="13">
        <f>'PSL discount calculation'!S6*'PSL Invoice '!$F7</f>
        <v>0</v>
      </c>
      <c r="N7" s="13">
        <f>'PSL discount calculation'!U6*'PSL Invoice '!$F7</f>
        <v>0</v>
      </c>
      <c r="O7" s="13">
        <f>'PSL discount calculation'!W6*'PSL Invoice '!$F7</f>
        <v>0</v>
      </c>
      <c r="P7" s="13">
        <f>'PSL discount calculation'!Y6*'PSL Invoice '!$F7</f>
        <v>0</v>
      </c>
      <c r="Q7" s="13">
        <f>'PSL discount calculation'!AA6*'PSL Invoice '!$F7</f>
        <v>0</v>
      </c>
      <c r="R7" s="13">
        <f>'PSL discount calculation'!AC6*'PSL Invoice '!$F7</f>
        <v>0</v>
      </c>
      <c r="S7" s="12">
        <f>SUM(G7:R7)</f>
        <v>0</v>
      </c>
    </row>
    <row r="8" spans="1:19" x14ac:dyDescent="0.35">
      <c r="A8" s="131"/>
      <c r="B8" s="156"/>
      <c r="C8" s="10" t="str">
        <f>'PSL discount calculation'!C7</f>
        <v>OV 1.5</v>
      </c>
      <c r="D8" s="11">
        <f>'PSL discount calculation'!D7</f>
        <v>98.850000000000009</v>
      </c>
      <c r="E8" s="11">
        <f>'PSL discount calculation'!E7</f>
        <v>88.965000000000003</v>
      </c>
      <c r="F8" s="11">
        <f t="shared" ref="F8:F36" si="0">D8-E8</f>
        <v>9.8850000000000051</v>
      </c>
      <c r="G8" s="13">
        <f>'PSL discount calculation'!G7*'PSL Invoice '!F8</f>
        <v>0</v>
      </c>
      <c r="H8" s="13">
        <f>'PSL discount calculation'!I7*'PSL Invoice '!F8</f>
        <v>0</v>
      </c>
      <c r="I8" s="13">
        <f>'PSL discount calculation'!K7*'PSL Invoice '!F8</f>
        <v>0</v>
      </c>
      <c r="J8" s="13">
        <f>'PSL discount calculation'!M7*'PSL Invoice '!$F8</f>
        <v>0</v>
      </c>
      <c r="K8" s="13">
        <f>'PSL discount calculation'!O7*'PSL Invoice '!$F8</f>
        <v>0</v>
      </c>
      <c r="L8" s="13">
        <f>'PSL discount calculation'!Q7*'PSL Invoice '!$F8</f>
        <v>0</v>
      </c>
      <c r="M8" s="13">
        <f>'PSL discount calculation'!S7*'PSL Invoice '!$F8</f>
        <v>0</v>
      </c>
      <c r="N8" s="13">
        <f>'PSL discount calculation'!U7*'PSL Invoice '!$F8</f>
        <v>0</v>
      </c>
      <c r="O8" s="13">
        <f>'PSL discount calculation'!W7*'PSL Invoice '!$F8</f>
        <v>0</v>
      </c>
      <c r="P8" s="13">
        <f>'PSL discount calculation'!Y7*'PSL Invoice '!$F8</f>
        <v>0</v>
      </c>
      <c r="Q8" s="13">
        <f>'PSL discount calculation'!AA7*'PSL Invoice '!$F8</f>
        <v>0</v>
      </c>
      <c r="R8" s="13">
        <f>'PSL discount calculation'!AC7*'PSL Invoice '!$F8</f>
        <v>0</v>
      </c>
      <c r="S8" s="12">
        <f t="shared" ref="S8:S41" si="1">SUM(G8:R8)</f>
        <v>0</v>
      </c>
    </row>
    <row r="9" spans="1:19" x14ac:dyDescent="0.35">
      <c r="A9" s="131"/>
      <c r="B9" s="156"/>
      <c r="C9" s="10" t="str">
        <f>'PSL discount calculation'!C8</f>
        <v>OV Dbl</v>
      </c>
      <c r="D9" s="11">
        <f>'PSL discount calculation'!D8</f>
        <v>131.80000000000001</v>
      </c>
      <c r="E9" s="11">
        <f>'PSL discount calculation'!E8</f>
        <v>118.62000000000002</v>
      </c>
      <c r="F9" s="11">
        <f t="shared" si="0"/>
        <v>13.179999999999993</v>
      </c>
      <c r="G9" s="13">
        <f>'PSL discount calculation'!G8*'PSL Invoice '!F9</f>
        <v>0</v>
      </c>
      <c r="H9" s="13">
        <f>'PSL discount calculation'!I8*'PSL Invoice '!F9</f>
        <v>0</v>
      </c>
      <c r="I9" s="13">
        <f>'PSL discount calculation'!K8*'PSL Invoice '!F9</f>
        <v>0</v>
      </c>
      <c r="J9" s="13">
        <f>'PSL discount calculation'!M8*'PSL Invoice '!$F9</f>
        <v>0</v>
      </c>
      <c r="K9" s="13">
        <f>'PSL discount calculation'!O8*'PSL Invoice '!$F9</f>
        <v>0</v>
      </c>
      <c r="L9" s="13">
        <f>'PSL discount calculation'!Q8*'PSL Invoice '!$F9</f>
        <v>0</v>
      </c>
      <c r="M9" s="13">
        <f>'PSL discount calculation'!S8*'PSL Invoice '!$F9</f>
        <v>0</v>
      </c>
      <c r="N9" s="13">
        <f>'PSL discount calculation'!U8*'PSL Invoice '!$F9</f>
        <v>0</v>
      </c>
      <c r="O9" s="13">
        <f>'PSL discount calculation'!W8*'PSL Invoice '!$F9</f>
        <v>0</v>
      </c>
      <c r="P9" s="13">
        <f>'PSL discount calculation'!Y8*'PSL Invoice '!$F9</f>
        <v>0</v>
      </c>
      <c r="Q9" s="13">
        <f>'PSL discount calculation'!AA8*'PSL Invoice '!$F9</f>
        <v>0</v>
      </c>
      <c r="R9" s="13">
        <f>'PSL discount calculation'!AC8*'PSL Invoice '!$F9</f>
        <v>0</v>
      </c>
      <c r="S9" s="12">
        <f t="shared" si="1"/>
        <v>0</v>
      </c>
    </row>
    <row r="10" spans="1:19" ht="20" x14ac:dyDescent="0.35">
      <c r="A10" s="131"/>
      <c r="B10" s="156"/>
      <c r="C10" s="10" t="str">
        <f>'PSL discount calculation'!C9</f>
        <v>SMI Single</v>
      </c>
      <c r="D10" s="11">
        <f>'PSL discount calculation'!D9</f>
        <v>43.2</v>
      </c>
      <c r="E10" s="11">
        <f>'PSL discount calculation'!E9</f>
        <v>38.880000000000003</v>
      </c>
      <c r="F10" s="11">
        <f t="shared" si="0"/>
        <v>4.32</v>
      </c>
      <c r="G10" s="13">
        <f>'PSL discount calculation'!G9*'PSL Invoice '!F10</f>
        <v>0</v>
      </c>
      <c r="H10" s="13">
        <f>'PSL discount calculation'!I9*'PSL Invoice '!F10</f>
        <v>0</v>
      </c>
      <c r="I10" s="13">
        <f>'PSL discount calculation'!K9*'PSL Invoice '!F10</f>
        <v>0</v>
      </c>
      <c r="J10" s="13">
        <f>'PSL discount calculation'!M9*'PSL Invoice '!$F10</f>
        <v>0</v>
      </c>
      <c r="K10" s="13">
        <f>'PSL discount calculation'!O9*'PSL Invoice '!$F10</f>
        <v>0</v>
      </c>
      <c r="L10" s="13">
        <f>'PSL discount calculation'!Q9*'PSL Invoice '!$F10</f>
        <v>0</v>
      </c>
      <c r="M10" s="13">
        <f>'PSL discount calculation'!S9*'PSL Invoice '!$F10</f>
        <v>0</v>
      </c>
      <c r="N10" s="13">
        <f>'PSL discount calculation'!U9*'PSL Invoice '!$F10</f>
        <v>0</v>
      </c>
      <c r="O10" s="13">
        <f>'PSL discount calculation'!W9*'PSL Invoice '!$F10</f>
        <v>0</v>
      </c>
      <c r="P10" s="13">
        <f>'PSL discount calculation'!Y9*'PSL Invoice '!$F10</f>
        <v>0</v>
      </c>
      <c r="Q10" s="13">
        <f>'PSL discount calculation'!AA9*'PSL Invoice '!$F10</f>
        <v>0</v>
      </c>
      <c r="R10" s="13">
        <f>'PSL discount calculation'!AC9*'PSL Invoice '!$F10</f>
        <v>0</v>
      </c>
      <c r="S10" s="12">
        <f t="shared" si="1"/>
        <v>0</v>
      </c>
    </row>
    <row r="11" spans="1:19" x14ac:dyDescent="0.35">
      <c r="A11" s="131"/>
      <c r="B11" s="156"/>
      <c r="C11" s="10" t="str">
        <f>'PSL discount calculation'!C10</f>
        <v>SMI 1.5</v>
      </c>
      <c r="D11" s="11">
        <f>'PSL discount calculation'!D10</f>
        <v>64.800000000000011</v>
      </c>
      <c r="E11" s="11">
        <f>'PSL discount calculation'!E10</f>
        <v>58.320000000000014</v>
      </c>
      <c r="F11" s="11">
        <f t="shared" si="0"/>
        <v>6.4799999999999969</v>
      </c>
      <c r="G11" s="13">
        <f>'PSL discount calculation'!G10*'PSL Invoice '!F11</f>
        <v>0</v>
      </c>
      <c r="H11" s="13">
        <f>'PSL discount calculation'!I10*'PSL Invoice '!F11</f>
        <v>0</v>
      </c>
      <c r="I11" s="13">
        <f>'PSL discount calculation'!K10*'PSL Invoice '!F11</f>
        <v>0</v>
      </c>
      <c r="J11" s="13">
        <f>'PSL discount calculation'!M10*'PSL Invoice '!$F11</f>
        <v>0</v>
      </c>
      <c r="K11" s="13">
        <f>'PSL discount calculation'!O10*'PSL Invoice '!$F11</f>
        <v>0</v>
      </c>
      <c r="L11" s="13">
        <f>'PSL discount calculation'!Q10*'PSL Invoice '!$F11</f>
        <v>0</v>
      </c>
      <c r="M11" s="13">
        <f>'PSL discount calculation'!S10*'PSL Invoice '!$F11</f>
        <v>0</v>
      </c>
      <c r="N11" s="13">
        <f>'PSL discount calculation'!U10*'PSL Invoice '!$F11</f>
        <v>0</v>
      </c>
      <c r="O11" s="13">
        <f>'PSL discount calculation'!W10*'PSL Invoice '!$F11</f>
        <v>0</v>
      </c>
      <c r="P11" s="13">
        <f>'PSL discount calculation'!Y10*'PSL Invoice '!$F11</f>
        <v>0</v>
      </c>
      <c r="Q11" s="13">
        <f>'PSL discount calculation'!AA10*'PSL Invoice '!$F11</f>
        <v>0</v>
      </c>
      <c r="R11" s="13">
        <f>'PSL discount calculation'!AC10*'PSL Invoice '!$F11</f>
        <v>0</v>
      </c>
      <c r="S11" s="12">
        <f t="shared" si="1"/>
        <v>0</v>
      </c>
    </row>
    <row r="12" spans="1:19" x14ac:dyDescent="0.35">
      <c r="A12" s="131"/>
      <c r="B12" s="156"/>
      <c r="C12" s="10" t="str">
        <f>'PSL discount calculation'!C11</f>
        <v>SMI Dbl</v>
      </c>
      <c r="D12" s="11">
        <f>'PSL discount calculation'!D11</f>
        <v>86.4</v>
      </c>
      <c r="E12" s="11">
        <f>'PSL discount calculation'!E11</f>
        <v>77.760000000000005</v>
      </c>
      <c r="F12" s="11">
        <f t="shared" si="0"/>
        <v>8.64</v>
      </c>
      <c r="G12" s="13">
        <f>'PSL discount calculation'!G11*'PSL Invoice '!F12</f>
        <v>0</v>
      </c>
      <c r="H12" s="13">
        <f>'PSL discount calculation'!I11*'PSL Invoice '!F12</f>
        <v>0</v>
      </c>
      <c r="I12" s="13">
        <f>'PSL discount calculation'!K11*'PSL Invoice '!F12</f>
        <v>0</v>
      </c>
      <c r="J12" s="13">
        <f>'PSL discount calculation'!M11*'PSL Invoice '!$F12</f>
        <v>0</v>
      </c>
      <c r="K12" s="13">
        <f>'PSL discount calculation'!O11*'PSL Invoice '!$F12</f>
        <v>0</v>
      </c>
      <c r="L12" s="13">
        <f>'PSL discount calculation'!Q11*'PSL Invoice '!$F12</f>
        <v>0</v>
      </c>
      <c r="M12" s="13">
        <f>'PSL discount calculation'!S11*'PSL Invoice '!$F12</f>
        <v>0</v>
      </c>
      <c r="N12" s="13">
        <f>'PSL discount calculation'!U11*'PSL Invoice '!$F12</f>
        <v>0</v>
      </c>
      <c r="O12" s="13">
        <f>'PSL discount calculation'!W11*'PSL Invoice '!$F12</f>
        <v>0</v>
      </c>
      <c r="P12" s="13">
        <f>'PSL discount calculation'!Y11*'PSL Invoice '!$F12</f>
        <v>0</v>
      </c>
      <c r="Q12" s="13">
        <f>'PSL discount calculation'!AA11*'PSL Invoice '!$F12</f>
        <v>0</v>
      </c>
      <c r="R12" s="13">
        <f>'PSL discount calculation'!AC11*'PSL Invoice '!$F12</f>
        <v>0</v>
      </c>
      <c r="S12" s="12">
        <f t="shared" si="1"/>
        <v>0</v>
      </c>
    </row>
    <row r="13" spans="1:19" ht="20" x14ac:dyDescent="0.35">
      <c r="A13" s="131">
        <v>2</v>
      </c>
      <c r="B13" s="156">
        <f>'PSL discount calculation'!B12</f>
        <v>0.75</v>
      </c>
      <c r="C13" s="10" t="str">
        <f>'PSL discount calculation'!C12</f>
        <v>OV Single</v>
      </c>
      <c r="D13" s="11">
        <f>'PSL discount calculation'!D12</f>
        <v>65.900000000000006</v>
      </c>
      <c r="E13" s="11">
        <f>'PSL discount calculation'!E12</f>
        <v>49.425000000000004</v>
      </c>
      <c r="F13" s="11">
        <f t="shared" si="0"/>
        <v>16.475000000000001</v>
      </c>
      <c r="G13" s="13">
        <f>'PSL discount calculation'!G12*'PSL Invoice '!F13</f>
        <v>0</v>
      </c>
      <c r="H13" s="13">
        <f>'PSL discount calculation'!I12*'PSL Invoice '!F13</f>
        <v>0</v>
      </c>
      <c r="I13" s="13">
        <f>'PSL discount calculation'!K12*'PSL Invoice '!F13</f>
        <v>0</v>
      </c>
      <c r="J13" s="13">
        <f>'PSL discount calculation'!M12*'PSL Invoice '!$F13</f>
        <v>0</v>
      </c>
      <c r="K13" s="13">
        <f>'PSL discount calculation'!O12*'PSL Invoice '!$F13</f>
        <v>0</v>
      </c>
      <c r="L13" s="13">
        <f>'PSL discount calculation'!Q12*'PSL Invoice '!$F13</f>
        <v>0</v>
      </c>
      <c r="M13" s="13">
        <f>'PSL discount calculation'!S12*'PSL Invoice '!$F13</f>
        <v>0</v>
      </c>
      <c r="N13" s="13">
        <f>'PSL discount calculation'!U12*'PSL Invoice '!$F13</f>
        <v>0</v>
      </c>
      <c r="O13" s="13">
        <f>'PSL discount calculation'!W12*'PSL Invoice '!$F13</f>
        <v>0</v>
      </c>
      <c r="P13" s="13">
        <f>'PSL discount calculation'!Y12*'PSL Invoice '!$F13</f>
        <v>0</v>
      </c>
      <c r="Q13" s="13">
        <f>'PSL discount calculation'!AA12*'PSL Invoice '!$F13</f>
        <v>0</v>
      </c>
      <c r="R13" s="13">
        <f>'PSL discount calculation'!AC12*'PSL Invoice '!$F13</f>
        <v>0</v>
      </c>
      <c r="S13" s="12">
        <f t="shared" si="1"/>
        <v>0</v>
      </c>
    </row>
    <row r="14" spans="1:19" x14ac:dyDescent="0.35">
      <c r="A14" s="131"/>
      <c r="B14" s="156"/>
      <c r="C14" s="10" t="str">
        <f>'PSL discount calculation'!C13</f>
        <v>OV 1.5</v>
      </c>
      <c r="D14" s="11">
        <f>'PSL discount calculation'!D13</f>
        <v>98.850000000000009</v>
      </c>
      <c r="E14" s="11">
        <f>'PSL discount calculation'!E13</f>
        <v>74.137500000000003</v>
      </c>
      <c r="F14" s="11">
        <f t="shared" si="0"/>
        <v>24.712500000000006</v>
      </c>
      <c r="G14" s="13">
        <f>'PSL discount calculation'!G13*'PSL Invoice '!F14</f>
        <v>0</v>
      </c>
      <c r="H14" s="13">
        <f>'PSL discount calculation'!I13*'PSL Invoice '!F14</f>
        <v>0</v>
      </c>
      <c r="I14" s="13">
        <f>'PSL discount calculation'!K13*'PSL Invoice '!F14</f>
        <v>0</v>
      </c>
      <c r="J14" s="13">
        <f>'PSL discount calculation'!M13*'PSL Invoice '!$F14</f>
        <v>0</v>
      </c>
      <c r="K14" s="13">
        <f>'PSL discount calculation'!O13*'PSL Invoice '!$F14</f>
        <v>0</v>
      </c>
      <c r="L14" s="13">
        <f>'PSL discount calculation'!Q13*'PSL Invoice '!$F14</f>
        <v>0</v>
      </c>
      <c r="M14" s="13">
        <f>'PSL discount calculation'!S13*'PSL Invoice '!$F14</f>
        <v>0</v>
      </c>
      <c r="N14" s="13">
        <f>'PSL discount calculation'!U13*'PSL Invoice '!$F14</f>
        <v>0</v>
      </c>
      <c r="O14" s="13">
        <f>'PSL discount calculation'!W13*'PSL Invoice '!$F14</f>
        <v>0</v>
      </c>
      <c r="P14" s="13">
        <f>'PSL discount calculation'!Y13*'PSL Invoice '!$F14</f>
        <v>0</v>
      </c>
      <c r="Q14" s="13">
        <f>'PSL discount calculation'!AA13*'PSL Invoice '!$F14</f>
        <v>0</v>
      </c>
      <c r="R14" s="13">
        <f>'PSL discount calculation'!AC13*'PSL Invoice '!$F14</f>
        <v>0</v>
      </c>
      <c r="S14" s="12">
        <f t="shared" si="1"/>
        <v>0</v>
      </c>
    </row>
    <row r="15" spans="1:19" x14ac:dyDescent="0.35">
      <c r="A15" s="131"/>
      <c r="B15" s="156"/>
      <c r="C15" s="10" t="str">
        <f>'PSL discount calculation'!C14</f>
        <v>OV Dbl</v>
      </c>
      <c r="D15" s="11">
        <f>'PSL discount calculation'!D14</f>
        <v>131.80000000000001</v>
      </c>
      <c r="E15" s="11">
        <f>'PSL discount calculation'!E14</f>
        <v>98.850000000000009</v>
      </c>
      <c r="F15" s="11">
        <f t="shared" si="0"/>
        <v>32.950000000000003</v>
      </c>
      <c r="G15" s="13">
        <f>'PSL discount calculation'!G14*'PSL Invoice '!F15</f>
        <v>0</v>
      </c>
      <c r="H15" s="13">
        <f>'PSL discount calculation'!I14*'PSL Invoice '!F15</f>
        <v>0</v>
      </c>
      <c r="I15" s="13">
        <f>'PSL discount calculation'!K14*'PSL Invoice '!F15</f>
        <v>0</v>
      </c>
      <c r="J15" s="13">
        <f>'PSL discount calculation'!M14*'PSL Invoice '!$F15</f>
        <v>0</v>
      </c>
      <c r="K15" s="13">
        <f>'PSL discount calculation'!O14*'PSL Invoice '!$F15</f>
        <v>0</v>
      </c>
      <c r="L15" s="13">
        <f>'PSL discount calculation'!Q14*'PSL Invoice '!$F15</f>
        <v>0</v>
      </c>
      <c r="M15" s="13">
        <f>'PSL discount calculation'!S14*'PSL Invoice '!$F15</f>
        <v>0</v>
      </c>
      <c r="N15" s="13">
        <f>'PSL discount calculation'!U14*'PSL Invoice '!$F15</f>
        <v>0</v>
      </c>
      <c r="O15" s="13">
        <f>'PSL discount calculation'!W14*'PSL Invoice '!$F15</f>
        <v>0</v>
      </c>
      <c r="P15" s="13">
        <f>'PSL discount calculation'!Y14*'PSL Invoice '!$F15</f>
        <v>0</v>
      </c>
      <c r="Q15" s="13">
        <f>'PSL discount calculation'!AA14*'PSL Invoice '!$F15</f>
        <v>0</v>
      </c>
      <c r="R15" s="13">
        <f>'PSL discount calculation'!AC14*'PSL Invoice '!$F15</f>
        <v>0</v>
      </c>
      <c r="S15" s="12">
        <f t="shared" si="1"/>
        <v>0</v>
      </c>
    </row>
    <row r="16" spans="1:19" ht="20" x14ac:dyDescent="0.35">
      <c r="A16" s="131"/>
      <c r="B16" s="156"/>
      <c r="C16" s="10" t="str">
        <f>'PSL discount calculation'!C15</f>
        <v>SMI Single</v>
      </c>
      <c r="D16" s="11">
        <f>'PSL discount calculation'!D15</f>
        <v>43.2</v>
      </c>
      <c r="E16" s="11">
        <f>'PSL discount calculation'!E15</f>
        <v>32.400000000000006</v>
      </c>
      <c r="F16" s="11">
        <f t="shared" si="0"/>
        <v>10.799999999999997</v>
      </c>
      <c r="G16" s="13">
        <f>'PSL discount calculation'!G15*'PSL Invoice '!F16</f>
        <v>0</v>
      </c>
      <c r="H16" s="13">
        <f>'PSL discount calculation'!I15*'PSL Invoice '!F16</f>
        <v>0</v>
      </c>
      <c r="I16" s="13">
        <f>'PSL discount calculation'!K15*'PSL Invoice '!F16</f>
        <v>0</v>
      </c>
      <c r="J16" s="13">
        <f>'PSL discount calculation'!M15*'PSL Invoice '!$F16</f>
        <v>0</v>
      </c>
      <c r="K16" s="13">
        <f>'PSL discount calculation'!O15*'PSL Invoice '!$F16</f>
        <v>0</v>
      </c>
      <c r="L16" s="13">
        <f>'PSL discount calculation'!Q15*'PSL Invoice '!$F16</f>
        <v>0</v>
      </c>
      <c r="M16" s="13">
        <f>'PSL discount calculation'!S15*'PSL Invoice '!$F16</f>
        <v>0</v>
      </c>
      <c r="N16" s="13">
        <f>'PSL discount calculation'!U15*'PSL Invoice '!$F16</f>
        <v>0</v>
      </c>
      <c r="O16" s="13">
        <f>'PSL discount calculation'!W15*'PSL Invoice '!$F16</f>
        <v>0</v>
      </c>
      <c r="P16" s="13">
        <f>'PSL discount calculation'!Y15*'PSL Invoice '!$F16</f>
        <v>0</v>
      </c>
      <c r="Q16" s="13">
        <f>'PSL discount calculation'!AA15*'PSL Invoice '!$F16</f>
        <v>0</v>
      </c>
      <c r="R16" s="13">
        <f>'PSL discount calculation'!AC15*'PSL Invoice '!$F16</f>
        <v>0</v>
      </c>
      <c r="S16" s="12">
        <f t="shared" si="1"/>
        <v>0</v>
      </c>
    </row>
    <row r="17" spans="1:19" x14ac:dyDescent="0.35">
      <c r="A17" s="131"/>
      <c r="B17" s="156"/>
      <c r="C17" s="10" t="str">
        <f>'PSL discount calculation'!C16</f>
        <v>SMI 1.5</v>
      </c>
      <c r="D17" s="11">
        <f>'PSL discount calculation'!D16</f>
        <v>64.800000000000011</v>
      </c>
      <c r="E17" s="11">
        <f>'PSL discount calculation'!E16</f>
        <v>48.600000000000009</v>
      </c>
      <c r="F17" s="11">
        <f t="shared" si="0"/>
        <v>16.200000000000003</v>
      </c>
      <c r="G17" s="13">
        <f>'PSL discount calculation'!G16*'PSL Invoice '!F17</f>
        <v>0</v>
      </c>
      <c r="H17" s="13">
        <f>'PSL discount calculation'!I16*'PSL Invoice '!F17</f>
        <v>0</v>
      </c>
      <c r="I17" s="13">
        <f>'PSL discount calculation'!K16*'PSL Invoice '!F17</f>
        <v>0</v>
      </c>
      <c r="J17" s="13">
        <f>'PSL discount calculation'!M16*'PSL Invoice '!$F17</f>
        <v>0</v>
      </c>
      <c r="K17" s="13">
        <f>'PSL discount calculation'!O16*'PSL Invoice '!$F17</f>
        <v>0</v>
      </c>
      <c r="L17" s="13">
        <f>'PSL discount calculation'!Q16*'PSL Invoice '!$F17</f>
        <v>0</v>
      </c>
      <c r="M17" s="13">
        <f>'PSL discount calculation'!S16*'PSL Invoice '!$F17</f>
        <v>0</v>
      </c>
      <c r="N17" s="13">
        <f>'PSL discount calculation'!U16*'PSL Invoice '!$F17</f>
        <v>0</v>
      </c>
      <c r="O17" s="13">
        <f>'PSL discount calculation'!W16*'PSL Invoice '!$F17</f>
        <v>0</v>
      </c>
      <c r="P17" s="13">
        <f>'PSL discount calculation'!Y16*'PSL Invoice '!$F17</f>
        <v>0</v>
      </c>
      <c r="Q17" s="13">
        <f>'PSL discount calculation'!AA16*'PSL Invoice '!$F17</f>
        <v>0</v>
      </c>
      <c r="R17" s="13">
        <f>'PSL discount calculation'!AC16*'PSL Invoice '!$F17</f>
        <v>0</v>
      </c>
      <c r="S17" s="12">
        <f t="shared" si="1"/>
        <v>0</v>
      </c>
    </row>
    <row r="18" spans="1:19" x14ac:dyDescent="0.35">
      <c r="A18" s="131"/>
      <c r="B18" s="156"/>
      <c r="C18" s="10" t="str">
        <f>'PSL discount calculation'!C17</f>
        <v>SMI Dbl</v>
      </c>
      <c r="D18" s="11">
        <f>'PSL discount calculation'!D17</f>
        <v>86.4</v>
      </c>
      <c r="E18" s="11">
        <f>'PSL discount calculation'!E17</f>
        <v>64.800000000000011</v>
      </c>
      <c r="F18" s="11">
        <f t="shared" si="0"/>
        <v>21.599999999999994</v>
      </c>
      <c r="G18" s="13">
        <f>'PSL discount calculation'!G17*'PSL Invoice '!F18</f>
        <v>0</v>
      </c>
      <c r="H18" s="13">
        <f>'PSL discount calculation'!I17*'PSL Invoice '!F18</f>
        <v>0</v>
      </c>
      <c r="I18" s="13">
        <f>'PSL discount calculation'!K17*'PSL Invoice '!F18</f>
        <v>0</v>
      </c>
      <c r="J18" s="13">
        <f>'PSL discount calculation'!M17*'PSL Invoice '!$F18</f>
        <v>0</v>
      </c>
      <c r="K18" s="13">
        <f>'PSL discount calculation'!O17*'PSL Invoice '!$F18</f>
        <v>0</v>
      </c>
      <c r="L18" s="13">
        <f>'PSL discount calculation'!Q17*'PSL Invoice '!$F18</f>
        <v>0</v>
      </c>
      <c r="M18" s="13">
        <f>'PSL discount calculation'!S17*'PSL Invoice '!$F18</f>
        <v>0</v>
      </c>
      <c r="N18" s="13">
        <f>'PSL discount calculation'!U17*'PSL Invoice '!$F18</f>
        <v>0</v>
      </c>
      <c r="O18" s="13">
        <f>'PSL discount calculation'!W17*'PSL Invoice '!$F18</f>
        <v>0</v>
      </c>
      <c r="P18" s="13">
        <f>'PSL discount calculation'!Y17*'PSL Invoice '!$F18</f>
        <v>0</v>
      </c>
      <c r="Q18" s="13">
        <f>'PSL discount calculation'!AA17*'PSL Invoice '!$F18</f>
        <v>0</v>
      </c>
      <c r="R18" s="13">
        <f>'PSL discount calculation'!AC17*'PSL Invoice '!$F18</f>
        <v>0</v>
      </c>
      <c r="S18" s="12">
        <f t="shared" si="1"/>
        <v>0</v>
      </c>
    </row>
    <row r="19" spans="1:19" ht="20" x14ac:dyDescent="0.35">
      <c r="A19" s="131">
        <v>3</v>
      </c>
      <c r="B19" s="156">
        <f>'PSL discount calculation'!B18</f>
        <v>0.17</v>
      </c>
      <c r="C19" s="10" t="str">
        <f>'PSL discount calculation'!C18</f>
        <v>OV Single</v>
      </c>
      <c r="D19" s="11">
        <f>'PSL discount calculation'!D18</f>
        <v>65.900000000000006</v>
      </c>
      <c r="E19" s="11">
        <f>'PSL discount calculation'!E18</f>
        <v>11.203000000000001</v>
      </c>
      <c r="F19" s="11">
        <f t="shared" si="0"/>
        <v>54.697000000000003</v>
      </c>
      <c r="G19" s="13">
        <f>'PSL discount calculation'!G18*'PSL Invoice '!F19</f>
        <v>0</v>
      </c>
      <c r="H19" s="13">
        <f>'PSL discount calculation'!I18*'PSL Invoice '!F19</f>
        <v>0</v>
      </c>
      <c r="I19" s="13">
        <f>'PSL discount calculation'!K18*'PSL Invoice '!F19</f>
        <v>0</v>
      </c>
      <c r="J19" s="13">
        <f>'PSL discount calculation'!M18*'PSL Invoice '!$F19</f>
        <v>0</v>
      </c>
      <c r="K19" s="13">
        <f>'PSL discount calculation'!O18*'PSL Invoice '!$F19</f>
        <v>0</v>
      </c>
      <c r="L19" s="13">
        <f>'PSL discount calculation'!Q18*'PSL Invoice '!$F19</f>
        <v>0</v>
      </c>
      <c r="M19" s="13">
        <f>'PSL discount calculation'!S18*'PSL Invoice '!$F19</f>
        <v>0</v>
      </c>
      <c r="N19" s="13">
        <f>'PSL discount calculation'!U18*'PSL Invoice '!$F19</f>
        <v>0</v>
      </c>
      <c r="O19" s="13">
        <f>'PSL discount calculation'!W18*'PSL Invoice '!$F19</f>
        <v>0</v>
      </c>
      <c r="P19" s="13">
        <f>'PSL discount calculation'!Y18*'PSL Invoice '!$F19</f>
        <v>0</v>
      </c>
      <c r="Q19" s="13">
        <f>'PSL discount calculation'!AA18*'PSL Invoice '!$F19</f>
        <v>0</v>
      </c>
      <c r="R19" s="13">
        <f>'PSL discount calculation'!AC18*'PSL Invoice '!$F19</f>
        <v>0</v>
      </c>
      <c r="S19" s="12">
        <f t="shared" si="1"/>
        <v>0</v>
      </c>
    </row>
    <row r="20" spans="1:19" x14ac:dyDescent="0.35">
      <c r="A20" s="131"/>
      <c r="B20" s="156"/>
      <c r="C20" s="10" t="str">
        <f>'PSL discount calculation'!C19</f>
        <v>OV 1.5</v>
      </c>
      <c r="D20" s="11">
        <f>'PSL discount calculation'!D19</f>
        <v>98.850000000000009</v>
      </c>
      <c r="E20" s="11">
        <f>'PSL discount calculation'!E19</f>
        <v>16.804500000000004</v>
      </c>
      <c r="F20" s="11">
        <f t="shared" si="0"/>
        <v>82.045500000000004</v>
      </c>
      <c r="G20" s="13">
        <f>'PSL discount calculation'!G19*'PSL Invoice '!F20</f>
        <v>0</v>
      </c>
      <c r="H20" s="13">
        <f>'PSL discount calculation'!I19*'PSL Invoice '!F20</f>
        <v>0</v>
      </c>
      <c r="I20" s="13">
        <f>'PSL discount calculation'!K19*'PSL Invoice '!F20</f>
        <v>0</v>
      </c>
      <c r="J20" s="13">
        <f>'PSL discount calculation'!M19*'PSL Invoice '!$F20</f>
        <v>0</v>
      </c>
      <c r="K20" s="13">
        <f>'PSL discount calculation'!O19*'PSL Invoice '!$F20</f>
        <v>0</v>
      </c>
      <c r="L20" s="13">
        <f>'PSL discount calculation'!Q19*'PSL Invoice '!$F20</f>
        <v>0</v>
      </c>
      <c r="M20" s="13">
        <f>'PSL discount calculation'!S19*'PSL Invoice '!$F20</f>
        <v>0</v>
      </c>
      <c r="N20" s="13">
        <f>'PSL discount calculation'!U19*'PSL Invoice '!$F20</f>
        <v>0</v>
      </c>
      <c r="O20" s="13">
        <f>'PSL discount calculation'!W19*'PSL Invoice '!$F20</f>
        <v>0</v>
      </c>
      <c r="P20" s="13">
        <f>'PSL discount calculation'!Y19*'PSL Invoice '!$F20</f>
        <v>0</v>
      </c>
      <c r="Q20" s="13">
        <f>'PSL discount calculation'!AA19*'PSL Invoice '!$F20</f>
        <v>0</v>
      </c>
      <c r="R20" s="13">
        <f>'PSL discount calculation'!AC19*'PSL Invoice '!$F20</f>
        <v>0</v>
      </c>
      <c r="S20" s="12">
        <f t="shared" si="1"/>
        <v>0</v>
      </c>
    </row>
    <row r="21" spans="1:19" x14ac:dyDescent="0.35">
      <c r="A21" s="131"/>
      <c r="B21" s="156"/>
      <c r="C21" s="10" t="str">
        <f>'PSL discount calculation'!C20</f>
        <v>OV Dbl</v>
      </c>
      <c r="D21" s="11">
        <f>'PSL discount calculation'!D20</f>
        <v>131.80000000000001</v>
      </c>
      <c r="E21" s="11">
        <f>'PSL discount calculation'!E20</f>
        <v>22.406000000000002</v>
      </c>
      <c r="F21" s="11">
        <f t="shared" si="0"/>
        <v>109.39400000000001</v>
      </c>
      <c r="G21" s="13">
        <f>'PSL discount calculation'!G20*'PSL Invoice '!F21</f>
        <v>0</v>
      </c>
      <c r="H21" s="13">
        <f>'PSL discount calculation'!I20*'PSL Invoice '!F21</f>
        <v>0</v>
      </c>
      <c r="I21" s="13">
        <f>'PSL discount calculation'!K20*'PSL Invoice '!F21</f>
        <v>0</v>
      </c>
      <c r="J21" s="13">
        <f>'PSL discount calculation'!M20*'PSL Invoice '!$F21</f>
        <v>0</v>
      </c>
      <c r="K21" s="13">
        <f>'PSL discount calculation'!O20*'PSL Invoice '!$F21</f>
        <v>0</v>
      </c>
      <c r="L21" s="13">
        <f>'PSL discount calculation'!Q20*'PSL Invoice '!$F21</f>
        <v>0</v>
      </c>
      <c r="M21" s="13">
        <f>'PSL discount calculation'!S20*'PSL Invoice '!$F21</f>
        <v>0</v>
      </c>
      <c r="N21" s="13">
        <f>'PSL discount calculation'!U20*'PSL Invoice '!$F21</f>
        <v>0</v>
      </c>
      <c r="O21" s="13">
        <f>'PSL discount calculation'!W20*'PSL Invoice '!$F21</f>
        <v>0</v>
      </c>
      <c r="P21" s="13">
        <f>'PSL discount calculation'!Y20*'PSL Invoice '!$F21</f>
        <v>0</v>
      </c>
      <c r="Q21" s="13">
        <f>'PSL discount calculation'!AA20*'PSL Invoice '!$F21</f>
        <v>0</v>
      </c>
      <c r="R21" s="13">
        <f>'PSL discount calculation'!AC20*'PSL Invoice '!$F21</f>
        <v>0</v>
      </c>
      <c r="S21" s="12">
        <f t="shared" si="1"/>
        <v>0</v>
      </c>
    </row>
    <row r="22" spans="1:19" ht="20" x14ac:dyDescent="0.35">
      <c r="A22" s="131"/>
      <c r="B22" s="156"/>
      <c r="C22" s="10" t="str">
        <f>'PSL discount calculation'!C21</f>
        <v>SMI Single</v>
      </c>
      <c r="D22" s="11">
        <f>'PSL discount calculation'!D21</f>
        <v>43.2</v>
      </c>
      <c r="E22" s="11">
        <f>'PSL discount calculation'!E21</f>
        <v>7.3440000000000012</v>
      </c>
      <c r="F22" s="11">
        <f t="shared" si="0"/>
        <v>35.856000000000002</v>
      </c>
      <c r="G22" s="13">
        <f>'PSL discount calculation'!G21*'PSL Invoice '!F22</f>
        <v>0</v>
      </c>
      <c r="H22" s="13">
        <f>'PSL discount calculation'!I21*'PSL Invoice '!F22</f>
        <v>0</v>
      </c>
      <c r="I22" s="13">
        <f>'PSL discount calculation'!K21*'PSL Invoice '!F22</f>
        <v>0</v>
      </c>
      <c r="J22" s="13">
        <f>'PSL discount calculation'!M21*'PSL Invoice '!$F22</f>
        <v>0</v>
      </c>
      <c r="K22" s="13">
        <f>'PSL discount calculation'!O21*'PSL Invoice '!$F22</f>
        <v>0</v>
      </c>
      <c r="L22" s="13">
        <f>'PSL discount calculation'!Q21*'PSL Invoice '!$F22</f>
        <v>0</v>
      </c>
      <c r="M22" s="13">
        <f>'PSL discount calculation'!S21*'PSL Invoice '!$F22</f>
        <v>0</v>
      </c>
      <c r="N22" s="13">
        <f>'PSL discount calculation'!U21*'PSL Invoice '!$F22</f>
        <v>0</v>
      </c>
      <c r="O22" s="13">
        <f>'PSL discount calculation'!W21*'PSL Invoice '!$F22</f>
        <v>0</v>
      </c>
      <c r="P22" s="13">
        <f>'PSL discount calculation'!Y21*'PSL Invoice '!$F22</f>
        <v>0</v>
      </c>
      <c r="Q22" s="13">
        <f>'PSL discount calculation'!AA21*'PSL Invoice '!$F22</f>
        <v>0</v>
      </c>
      <c r="R22" s="13">
        <f>'PSL discount calculation'!AC21*'PSL Invoice '!$F22</f>
        <v>0</v>
      </c>
      <c r="S22" s="12">
        <f t="shared" si="1"/>
        <v>0</v>
      </c>
    </row>
    <row r="23" spans="1:19" x14ac:dyDescent="0.35">
      <c r="A23" s="131"/>
      <c r="B23" s="156"/>
      <c r="C23" s="10" t="str">
        <f>'PSL discount calculation'!C22</f>
        <v>SMI 1.5</v>
      </c>
      <c r="D23" s="11">
        <f>'PSL discount calculation'!D22</f>
        <v>64.800000000000011</v>
      </c>
      <c r="E23" s="11">
        <f>'PSL discount calculation'!E22</f>
        <v>11.016000000000004</v>
      </c>
      <c r="F23" s="11">
        <f t="shared" si="0"/>
        <v>53.784000000000006</v>
      </c>
      <c r="G23" s="13">
        <f>'PSL discount calculation'!G22*'PSL Invoice '!F23</f>
        <v>0</v>
      </c>
      <c r="H23" s="13">
        <f>'PSL discount calculation'!I22*'PSL Invoice '!F23</f>
        <v>0</v>
      </c>
      <c r="I23" s="13">
        <f>'PSL discount calculation'!K22*'PSL Invoice '!F23</f>
        <v>0</v>
      </c>
      <c r="J23" s="13">
        <f>'PSL discount calculation'!M22*'PSL Invoice '!$F23</f>
        <v>0</v>
      </c>
      <c r="K23" s="13">
        <f>'PSL discount calculation'!O22*'PSL Invoice '!$F23</f>
        <v>0</v>
      </c>
      <c r="L23" s="13">
        <f>'PSL discount calculation'!Q22*'PSL Invoice '!$F23</f>
        <v>0</v>
      </c>
      <c r="M23" s="13">
        <f>'PSL discount calculation'!S22*'PSL Invoice '!$F23</f>
        <v>0</v>
      </c>
      <c r="N23" s="13">
        <f>'PSL discount calculation'!U22*'PSL Invoice '!$F23</f>
        <v>0</v>
      </c>
      <c r="O23" s="13">
        <f>'PSL discount calculation'!W22*'PSL Invoice '!$F23</f>
        <v>0</v>
      </c>
      <c r="P23" s="13">
        <f>'PSL discount calculation'!Y22*'PSL Invoice '!$F23</f>
        <v>0</v>
      </c>
      <c r="Q23" s="13">
        <f>'PSL discount calculation'!AA22*'PSL Invoice '!$F23</f>
        <v>0</v>
      </c>
      <c r="R23" s="13">
        <f>'PSL discount calculation'!AC22*'PSL Invoice '!$F23</f>
        <v>0</v>
      </c>
      <c r="S23" s="12">
        <f t="shared" si="1"/>
        <v>0</v>
      </c>
    </row>
    <row r="24" spans="1:19" x14ac:dyDescent="0.35">
      <c r="A24" s="131"/>
      <c r="B24" s="156"/>
      <c r="C24" s="10" t="str">
        <f>'PSL discount calculation'!C23</f>
        <v>SMI Dbl</v>
      </c>
      <c r="D24" s="11">
        <f>'PSL discount calculation'!D23</f>
        <v>86.4</v>
      </c>
      <c r="E24" s="11">
        <f>'PSL discount calculation'!E23</f>
        <v>14.688000000000002</v>
      </c>
      <c r="F24" s="11">
        <f t="shared" si="0"/>
        <v>71.712000000000003</v>
      </c>
      <c r="G24" s="13">
        <f>'PSL discount calculation'!G23*'PSL Invoice '!F24</f>
        <v>0</v>
      </c>
      <c r="H24" s="13">
        <f>'PSL discount calculation'!I23*'PSL Invoice '!F24</f>
        <v>0</v>
      </c>
      <c r="I24" s="13">
        <f>'PSL discount calculation'!K23*'PSL Invoice '!F24</f>
        <v>0</v>
      </c>
      <c r="J24" s="13">
        <f>'PSL discount calculation'!M23*'PSL Invoice '!$F24</f>
        <v>0</v>
      </c>
      <c r="K24" s="13">
        <f>'PSL discount calculation'!O23*'PSL Invoice '!$F24</f>
        <v>0</v>
      </c>
      <c r="L24" s="13">
        <f>'PSL discount calculation'!Q23*'PSL Invoice '!$F24</f>
        <v>0</v>
      </c>
      <c r="M24" s="13">
        <f>'PSL discount calculation'!S23*'PSL Invoice '!$F24</f>
        <v>0</v>
      </c>
      <c r="N24" s="13">
        <f>'PSL discount calculation'!U23*'PSL Invoice '!$F24</f>
        <v>0</v>
      </c>
      <c r="O24" s="13">
        <f>'PSL discount calculation'!W23*'PSL Invoice '!$F24</f>
        <v>0</v>
      </c>
      <c r="P24" s="13">
        <f>'PSL discount calculation'!Y23*'PSL Invoice '!$F24</f>
        <v>0</v>
      </c>
      <c r="Q24" s="13">
        <f>'PSL discount calculation'!AA23*'PSL Invoice '!$F24</f>
        <v>0</v>
      </c>
      <c r="R24" s="13">
        <f>'PSL discount calculation'!AC23*'PSL Invoice '!$F24</f>
        <v>0</v>
      </c>
      <c r="S24" s="12">
        <f t="shared" si="1"/>
        <v>0</v>
      </c>
    </row>
    <row r="25" spans="1:19" ht="20" x14ac:dyDescent="0.35">
      <c r="A25" s="131">
        <v>4</v>
      </c>
      <c r="B25" s="156">
        <f>'PSL discount calculation'!B24</f>
        <v>0.06</v>
      </c>
      <c r="C25" s="10" t="str">
        <f>'PSL discount calculation'!C24</f>
        <v>OV Single</v>
      </c>
      <c r="D25" s="11">
        <f>'PSL discount calculation'!D24</f>
        <v>65.900000000000006</v>
      </c>
      <c r="E25" s="11">
        <f>'PSL discount calculation'!E24</f>
        <v>3.9540000000000002</v>
      </c>
      <c r="F25" s="11">
        <f t="shared" si="0"/>
        <v>61.946000000000005</v>
      </c>
      <c r="G25" s="13">
        <f>'PSL discount calculation'!G24*'PSL Invoice '!F25</f>
        <v>0</v>
      </c>
      <c r="H25" s="13">
        <f>'PSL discount calculation'!I24*'PSL Invoice '!F25</f>
        <v>0</v>
      </c>
      <c r="I25" s="13">
        <f>'PSL discount calculation'!K24*'PSL Invoice '!F25</f>
        <v>0</v>
      </c>
      <c r="J25" s="13">
        <f>'PSL discount calculation'!M24*'PSL Invoice '!$F25</f>
        <v>0</v>
      </c>
      <c r="K25" s="13">
        <f>'PSL discount calculation'!O24*'PSL Invoice '!$F25</f>
        <v>0</v>
      </c>
      <c r="L25" s="13">
        <f>'PSL discount calculation'!Q24*'PSL Invoice '!$F25</f>
        <v>0</v>
      </c>
      <c r="M25" s="13">
        <f>'PSL discount calculation'!S24*'PSL Invoice '!$F25</f>
        <v>0</v>
      </c>
      <c r="N25" s="13">
        <f>'PSL discount calculation'!U24*'PSL Invoice '!$F25</f>
        <v>0</v>
      </c>
      <c r="O25" s="13">
        <f>'PSL discount calculation'!W24*'PSL Invoice '!$F25</f>
        <v>0</v>
      </c>
      <c r="P25" s="13">
        <f>'PSL discount calculation'!Y24*'PSL Invoice '!$F25</f>
        <v>0</v>
      </c>
      <c r="Q25" s="13">
        <f>'PSL discount calculation'!AA24*'PSL Invoice '!$F25</f>
        <v>0</v>
      </c>
      <c r="R25" s="13">
        <f>'PSL discount calculation'!AC24*'PSL Invoice '!$F25</f>
        <v>0</v>
      </c>
      <c r="S25" s="12">
        <f t="shared" si="1"/>
        <v>0</v>
      </c>
    </row>
    <row r="26" spans="1:19" x14ac:dyDescent="0.35">
      <c r="A26" s="131"/>
      <c r="B26" s="156"/>
      <c r="C26" s="10" t="str">
        <f>'PSL discount calculation'!C25</f>
        <v>OV 1.5</v>
      </c>
      <c r="D26" s="11">
        <f>'PSL discount calculation'!D25</f>
        <v>98.850000000000009</v>
      </c>
      <c r="E26" s="11">
        <f>'PSL discount calculation'!E25</f>
        <v>5.931</v>
      </c>
      <c r="F26" s="11">
        <f t="shared" si="0"/>
        <v>92.919000000000011</v>
      </c>
      <c r="G26" s="13">
        <f>'PSL discount calculation'!G25*'PSL Invoice '!F26</f>
        <v>0</v>
      </c>
      <c r="H26" s="13">
        <f>'PSL discount calculation'!I25*'PSL Invoice '!F26</f>
        <v>0</v>
      </c>
      <c r="I26" s="13">
        <f>'PSL discount calculation'!K25*'PSL Invoice '!F26</f>
        <v>0</v>
      </c>
      <c r="J26" s="13">
        <f>'PSL discount calculation'!M25*'PSL Invoice '!$F26</f>
        <v>0</v>
      </c>
      <c r="K26" s="13">
        <f>'PSL discount calculation'!O25*'PSL Invoice '!$F26</f>
        <v>0</v>
      </c>
      <c r="L26" s="13">
        <f>'PSL discount calculation'!Q25*'PSL Invoice '!$F26</f>
        <v>0</v>
      </c>
      <c r="M26" s="13">
        <f>'PSL discount calculation'!S25*'PSL Invoice '!$F26</f>
        <v>0</v>
      </c>
      <c r="N26" s="13">
        <f>'PSL discount calculation'!U25*'PSL Invoice '!$F26</f>
        <v>0</v>
      </c>
      <c r="O26" s="13">
        <f>'PSL discount calculation'!W25*'PSL Invoice '!$F26</f>
        <v>0</v>
      </c>
      <c r="P26" s="13">
        <f>'PSL discount calculation'!Y25*'PSL Invoice '!$F26</f>
        <v>0</v>
      </c>
      <c r="Q26" s="13">
        <f>'PSL discount calculation'!AA25*'PSL Invoice '!$F26</f>
        <v>0</v>
      </c>
      <c r="R26" s="13">
        <f>'PSL discount calculation'!AC25*'PSL Invoice '!$F26</f>
        <v>0</v>
      </c>
      <c r="S26" s="12">
        <f t="shared" si="1"/>
        <v>0</v>
      </c>
    </row>
    <row r="27" spans="1:19" x14ac:dyDescent="0.35">
      <c r="A27" s="131"/>
      <c r="B27" s="156"/>
      <c r="C27" s="10" t="str">
        <f>'PSL discount calculation'!C26</f>
        <v>OV Dbl</v>
      </c>
      <c r="D27" s="11">
        <f>'PSL discount calculation'!D26</f>
        <v>131.80000000000001</v>
      </c>
      <c r="E27" s="11">
        <f>'PSL discount calculation'!E26</f>
        <v>7.9080000000000004</v>
      </c>
      <c r="F27" s="11">
        <f t="shared" si="0"/>
        <v>123.89200000000001</v>
      </c>
      <c r="G27" s="13">
        <f>'PSL discount calculation'!G26*'PSL Invoice '!F27</f>
        <v>0</v>
      </c>
      <c r="H27" s="13">
        <f>'PSL discount calculation'!I26*'PSL Invoice '!F27</f>
        <v>0</v>
      </c>
      <c r="I27" s="13">
        <f>'PSL discount calculation'!K26*'PSL Invoice '!F27</f>
        <v>0</v>
      </c>
      <c r="J27" s="13">
        <f>'PSL discount calculation'!M26*'PSL Invoice '!$F27</f>
        <v>0</v>
      </c>
      <c r="K27" s="13">
        <f>'PSL discount calculation'!O26*'PSL Invoice '!$F27</f>
        <v>0</v>
      </c>
      <c r="L27" s="13">
        <f>'PSL discount calculation'!Q26*'PSL Invoice '!$F27</f>
        <v>0</v>
      </c>
      <c r="M27" s="13">
        <f>'PSL discount calculation'!S26*'PSL Invoice '!$F27</f>
        <v>0</v>
      </c>
      <c r="N27" s="13">
        <f>'PSL discount calculation'!U26*'PSL Invoice '!$F27</f>
        <v>0</v>
      </c>
      <c r="O27" s="13">
        <f>'PSL discount calculation'!W26*'PSL Invoice '!$F27</f>
        <v>0</v>
      </c>
      <c r="P27" s="13">
        <f>'PSL discount calculation'!Y26*'PSL Invoice '!$F27</f>
        <v>0</v>
      </c>
      <c r="Q27" s="13">
        <f>'PSL discount calculation'!AA26*'PSL Invoice '!$F27</f>
        <v>0</v>
      </c>
      <c r="R27" s="13">
        <f>'PSL discount calculation'!AC26*'PSL Invoice '!$F27</f>
        <v>0</v>
      </c>
      <c r="S27" s="12">
        <f t="shared" si="1"/>
        <v>0</v>
      </c>
    </row>
    <row r="28" spans="1:19" ht="20" x14ac:dyDescent="0.35">
      <c r="A28" s="131"/>
      <c r="B28" s="156"/>
      <c r="C28" s="10" t="str">
        <f>'PSL discount calculation'!C27</f>
        <v>SMI Single</v>
      </c>
      <c r="D28" s="11">
        <f>'PSL discount calculation'!D27</f>
        <v>43.2</v>
      </c>
      <c r="E28" s="11">
        <f>'PSL discount calculation'!E27</f>
        <v>2.5920000000000001</v>
      </c>
      <c r="F28" s="11">
        <f t="shared" si="0"/>
        <v>40.608000000000004</v>
      </c>
      <c r="G28" s="13">
        <f>'PSL discount calculation'!G27*'PSL Invoice '!F28</f>
        <v>0</v>
      </c>
      <c r="H28" s="13">
        <f>'PSL discount calculation'!I27*'PSL Invoice '!F28</f>
        <v>0</v>
      </c>
      <c r="I28" s="13">
        <f>'PSL discount calculation'!K27*'PSL Invoice '!F28</f>
        <v>0</v>
      </c>
      <c r="J28" s="13">
        <f>'PSL discount calculation'!M27*'PSL Invoice '!$F28</f>
        <v>0</v>
      </c>
      <c r="K28" s="13">
        <f>'PSL discount calculation'!O27*'PSL Invoice '!$F28</f>
        <v>0</v>
      </c>
      <c r="L28" s="13">
        <f>'PSL discount calculation'!Q27*'PSL Invoice '!$F28</f>
        <v>0</v>
      </c>
      <c r="M28" s="13">
        <f>'PSL discount calculation'!S27*'PSL Invoice '!$F28</f>
        <v>0</v>
      </c>
      <c r="N28" s="13">
        <f>'PSL discount calculation'!U27*'PSL Invoice '!$F28</f>
        <v>0</v>
      </c>
      <c r="O28" s="13">
        <f>'PSL discount calculation'!W27*'PSL Invoice '!$F28</f>
        <v>0</v>
      </c>
      <c r="P28" s="13">
        <f>'PSL discount calculation'!Y27*'PSL Invoice '!$F28</f>
        <v>0</v>
      </c>
      <c r="Q28" s="13">
        <f>'PSL discount calculation'!AA27*'PSL Invoice '!$F28</f>
        <v>0</v>
      </c>
      <c r="R28" s="13">
        <f>'PSL discount calculation'!AC27*'PSL Invoice '!$F28</f>
        <v>0</v>
      </c>
      <c r="S28" s="12">
        <f t="shared" si="1"/>
        <v>0</v>
      </c>
    </row>
    <row r="29" spans="1:19" x14ac:dyDescent="0.35">
      <c r="A29" s="131"/>
      <c r="B29" s="156"/>
      <c r="C29" s="10" t="str">
        <f>'PSL discount calculation'!C28</f>
        <v>SMI 1.5</v>
      </c>
      <c r="D29" s="11">
        <f>'PSL discount calculation'!D28</f>
        <v>64.800000000000011</v>
      </c>
      <c r="E29" s="11">
        <f>'PSL discount calculation'!E28</f>
        <v>3.8880000000000003</v>
      </c>
      <c r="F29" s="11">
        <f t="shared" si="0"/>
        <v>60.912000000000013</v>
      </c>
      <c r="G29" s="13">
        <f>'PSL discount calculation'!G28*'PSL Invoice '!F29</f>
        <v>0</v>
      </c>
      <c r="H29" s="13">
        <f>'PSL discount calculation'!I28*'PSL Invoice '!F29</f>
        <v>0</v>
      </c>
      <c r="I29" s="13">
        <f>'PSL discount calculation'!K28*'PSL Invoice '!F29</f>
        <v>0</v>
      </c>
      <c r="J29" s="13">
        <f>'PSL discount calculation'!M28*'PSL Invoice '!$F29</f>
        <v>0</v>
      </c>
      <c r="K29" s="13">
        <f>'PSL discount calculation'!O28*'PSL Invoice '!$F29</f>
        <v>0</v>
      </c>
      <c r="L29" s="13">
        <f>'PSL discount calculation'!Q28*'PSL Invoice '!$F29</f>
        <v>0</v>
      </c>
      <c r="M29" s="13">
        <f>'PSL discount calculation'!S28*'PSL Invoice '!$F29</f>
        <v>0</v>
      </c>
      <c r="N29" s="13">
        <f>'PSL discount calculation'!U28*'PSL Invoice '!$F29</f>
        <v>0</v>
      </c>
      <c r="O29" s="13">
        <f>'PSL discount calculation'!W28*'PSL Invoice '!$F29</f>
        <v>0</v>
      </c>
      <c r="P29" s="13">
        <f>'PSL discount calculation'!Y28*'PSL Invoice '!$F29</f>
        <v>0</v>
      </c>
      <c r="Q29" s="13">
        <f>'PSL discount calculation'!AA28*'PSL Invoice '!$F29</f>
        <v>0</v>
      </c>
      <c r="R29" s="13">
        <f>'PSL discount calculation'!AC28*'PSL Invoice '!$F29</f>
        <v>0</v>
      </c>
      <c r="S29" s="12">
        <f t="shared" si="1"/>
        <v>0</v>
      </c>
    </row>
    <row r="30" spans="1:19" x14ac:dyDescent="0.35">
      <c r="A30" s="131"/>
      <c r="B30" s="156"/>
      <c r="C30" s="10" t="str">
        <f>'PSL discount calculation'!C29</f>
        <v>SMI Dbl</v>
      </c>
      <c r="D30" s="11">
        <f>'PSL discount calculation'!D29</f>
        <v>86.4</v>
      </c>
      <c r="E30" s="11">
        <f>'PSL discount calculation'!E29</f>
        <v>5.1840000000000002</v>
      </c>
      <c r="F30" s="11">
        <f t="shared" si="0"/>
        <v>81.216000000000008</v>
      </c>
      <c r="G30" s="13">
        <f>'PSL discount calculation'!G29*'PSL Invoice '!F30</f>
        <v>0</v>
      </c>
      <c r="H30" s="13">
        <f>'PSL discount calculation'!I29*'PSL Invoice '!F30</f>
        <v>0</v>
      </c>
      <c r="I30" s="13">
        <f>'PSL discount calculation'!K29*'PSL Invoice '!F30</f>
        <v>0</v>
      </c>
      <c r="J30" s="13">
        <f>'PSL discount calculation'!M29*'PSL Invoice '!$F30</f>
        <v>0</v>
      </c>
      <c r="K30" s="13">
        <f>'PSL discount calculation'!O29*'PSL Invoice '!$F30</f>
        <v>0</v>
      </c>
      <c r="L30" s="13">
        <f>'PSL discount calculation'!Q29*'PSL Invoice '!$F30</f>
        <v>0</v>
      </c>
      <c r="M30" s="13">
        <f>'PSL discount calculation'!S29*'PSL Invoice '!$F30</f>
        <v>0</v>
      </c>
      <c r="N30" s="13">
        <f>'PSL discount calculation'!U29*'PSL Invoice '!$F30</f>
        <v>0</v>
      </c>
      <c r="O30" s="13">
        <f>'PSL discount calculation'!W29*'PSL Invoice '!$F30</f>
        <v>0</v>
      </c>
      <c r="P30" s="13">
        <f>'PSL discount calculation'!Y29*'PSL Invoice '!$F30</f>
        <v>0</v>
      </c>
      <c r="Q30" s="13">
        <f>'PSL discount calculation'!AA29*'PSL Invoice '!$F30</f>
        <v>0</v>
      </c>
      <c r="R30" s="13">
        <f>'PSL discount calculation'!AC29*'PSL Invoice '!$F30</f>
        <v>0</v>
      </c>
      <c r="S30" s="12">
        <f t="shared" si="1"/>
        <v>0</v>
      </c>
    </row>
    <row r="31" spans="1:19" ht="20" x14ac:dyDescent="0.35">
      <c r="A31" s="131">
        <v>5</v>
      </c>
      <c r="B31" s="156">
        <f>'PSL discount calculation'!B30</f>
        <v>0.04</v>
      </c>
      <c r="C31" s="10" t="str">
        <f>'PSL discount calculation'!C30</f>
        <v>OV Single</v>
      </c>
      <c r="D31" s="11">
        <f>'PSL discount calculation'!D30</f>
        <v>65.900000000000006</v>
      </c>
      <c r="E31" s="11">
        <f>'PSL discount calculation'!E30</f>
        <v>2.6360000000000001</v>
      </c>
      <c r="F31" s="11">
        <f t="shared" si="0"/>
        <v>63.264000000000003</v>
      </c>
      <c r="G31" s="13">
        <f>'PSL discount calculation'!G30*'PSL Invoice '!F31</f>
        <v>0</v>
      </c>
      <c r="H31" s="13">
        <f>'PSL discount calculation'!I30*'PSL Invoice '!F31</f>
        <v>0</v>
      </c>
      <c r="I31" s="13">
        <f>'PSL discount calculation'!K30*'PSL Invoice '!F31</f>
        <v>0</v>
      </c>
      <c r="J31" s="13">
        <f>'PSL discount calculation'!M30*'PSL Invoice '!$F31</f>
        <v>0</v>
      </c>
      <c r="K31" s="13">
        <f>'PSL discount calculation'!O30*'PSL Invoice '!$F31</f>
        <v>0</v>
      </c>
      <c r="L31" s="13">
        <f>'PSL discount calculation'!Q30*'PSL Invoice '!$F31</f>
        <v>0</v>
      </c>
      <c r="M31" s="13">
        <f>'PSL discount calculation'!S30*'PSL Invoice '!$F31</f>
        <v>0</v>
      </c>
      <c r="N31" s="13">
        <f>'PSL discount calculation'!U30*'PSL Invoice '!$F31</f>
        <v>0</v>
      </c>
      <c r="O31" s="13">
        <f>'PSL discount calculation'!W30*'PSL Invoice '!$F31</f>
        <v>0</v>
      </c>
      <c r="P31" s="13">
        <f>'PSL discount calculation'!Y30*'PSL Invoice '!$F31</f>
        <v>0</v>
      </c>
      <c r="Q31" s="13">
        <f>'PSL discount calculation'!AA30*'PSL Invoice '!$F31</f>
        <v>0</v>
      </c>
      <c r="R31" s="13">
        <f>'PSL discount calculation'!AC30*'PSL Invoice '!$F31</f>
        <v>0</v>
      </c>
      <c r="S31" s="12">
        <f t="shared" si="1"/>
        <v>0</v>
      </c>
    </row>
    <row r="32" spans="1:19" x14ac:dyDescent="0.35">
      <c r="A32" s="131"/>
      <c r="B32" s="156"/>
      <c r="C32" s="10" t="str">
        <f>'PSL discount calculation'!C31</f>
        <v>OV 1.5</v>
      </c>
      <c r="D32" s="11">
        <f>'PSL discount calculation'!D31</f>
        <v>98.850000000000009</v>
      </c>
      <c r="E32" s="11">
        <f>'PSL discount calculation'!E31</f>
        <v>3.9540000000000006</v>
      </c>
      <c r="F32" s="11">
        <f t="shared" si="0"/>
        <v>94.896000000000015</v>
      </c>
      <c r="G32" s="13">
        <f>'PSL discount calculation'!G31*'PSL Invoice '!F32</f>
        <v>0</v>
      </c>
      <c r="H32" s="13">
        <f>'PSL discount calculation'!I31*'PSL Invoice '!F32</f>
        <v>0</v>
      </c>
      <c r="I32" s="13">
        <f>'PSL discount calculation'!K31*'PSL Invoice '!F32</f>
        <v>0</v>
      </c>
      <c r="J32" s="13">
        <f>'PSL discount calculation'!M31*'PSL Invoice '!$F32</f>
        <v>0</v>
      </c>
      <c r="K32" s="13">
        <f>'PSL discount calculation'!O31*'PSL Invoice '!$F32</f>
        <v>0</v>
      </c>
      <c r="L32" s="13">
        <f>'PSL discount calculation'!Q31*'PSL Invoice '!$F32</f>
        <v>0</v>
      </c>
      <c r="M32" s="13">
        <f>'PSL discount calculation'!S31*'PSL Invoice '!$F32</f>
        <v>0</v>
      </c>
      <c r="N32" s="13">
        <f>'PSL discount calculation'!U31*'PSL Invoice '!$F32</f>
        <v>0</v>
      </c>
      <c r="O32" s="13">
        <f>'PSL discount calculation'!W31*'PSL Invoice '!$F32</f>
        <v>0</v>
      </c>
      <c r="P32" s="13">
        <f>'PSL discount calculation'!Y31*'PSL Invoice '!$F32</f>
        <v>0</v>
      </c>
      <c r="Q32" s="13">
        <f>'PSL discount calculation'!AA31*'PSL Invoice '!$F32</f>
        <v>0</v>
      </c>
      <c r="R32" s="13">
        <f>'PSL discount calculation'!AC31*'PSL Invoice '!$F32</f>
        <v>0</v>
      </c>
      <c r="S32" s="12">
        <f t="shared" si="1"/>
        <v>0</v>
      </c>
    </row>
    <row r="33" spans="1:19" x14ac:dyDescent="0.35">
      <c r="A33" s="131"/>
      <c r="B33" s="156"/>
      <c r="C33" s="10" t="str">
        <f>'PSL discount calculation'!C32</f>
        <v>OV Dbl</v>
      </c>
      <c r="D33" s="11">
        <f>'PSL discount calculation'!D32</f>
        <v>131.80000000000001</v>
      </c>
      <c r="E33" s="11">
        <f>'PSL discount calculation'!E32</f>
        <v>5.2720000000000002</v>
      </c>
      <c r="F33" s="11">
        <f t="shared" si="0"/>
        <v>126.52800000000001</v>
      </c>
      <c r="G33" s="13">
        <f>'PSL discount calculation'!G32*'PSL Invoice '!F33</f>
        <v>0</v>
      </c>
      <c r="H33" s="13">
        <f>'PSL discount calculation'!I32*'PSL Invoice '!F33</f>
        <v>0</v>
      </c>
      <c r="I33" s="13">
        <f>'PSL discount calculation'!K32*'PSL Invoice '!F33</f>
        <v>0</v>
      </c>
      <c r="J33" s="13">
        <f>'PSL discount calculation'!M32*'PSL Invoice '!$F33</f>
        <v>0</v>
      </c>
      <c r="K33" s="13">
        <f>'PSL discount calculation'!O32*'PSL Invoice '!$F33</f>
        <v>0</v>
      </c>
      <c r="L33" s="13">
        <f>'PSL discount calculation'!Q32*'PSL Invoice '!$F33</f>
        <v>0</v>
      </c>
      <c r="M33" s="13">
        <f>'PSL discount calculation'!S32*'PSL Invoice '!$F33</f>
        <v>0</v>
      </c>
      <c r="N33" s="13">
        <f>'PSL discount calculation'!U32*'PSL Invoice '!$F33</f>
        <v>0</v>
      </c>
      <c r="O33" s="13">
        <f>'PSL discount calculation'!W32*'PSL Invoice '!$F33</f>
        <v>0</v>
      </c>
      <c r="P33" s="13">
        <f>'PSL discount calculation'!Y32*'PSL Invoice '!$F33</f>
        <v>0</v>
      </c>
      <c r="Q33" s="13">
        <f>'PSL discount calculation'!AA32*'PSL Invoice '!$F33</f>
        <v>0</v>
      </c>
      <c r="R33" s="13">
        <f>'PSL discount calculation'!AC32*'PSL Invoice '!$F33</f>
        <v>0</v>
      </c>
      <c r="S33" s="12">
        <f t="shared" si="1"/>
        <v>0</v>
      </c>
    </row>
    <row r="34" spans="1:19" ht="20" x14ac:dyDescent="0.35">
      <c r="A34" s="131"/>
      <c r="B34" s="156"/>
      <c r="C34" s="10" t="str">
        <f>'PSL discount calculation'!C33</f>
        <v>SMI Single</v>
      </c>
      <c r="D34" s="11">
        <f>'PSL discount calculation'!D33</f>
        <v>43.2</v>
      </c>
      <c r="E34" s="11">
        <f>'PSL discount calculation'!E33</f>
        <v>1.7280000000000002</v>
      </c>
      <c r="F34" s="11">
        <f t="shared" si="0"/>
        <v>41.472000000000001</v>
      </c>
      <c r="G34" s="13">
        <f>'PSL discount calculation'!G33*'PSL Invoice '!F34</f>
        <v>0</v>
      </c>
      <c r="H34" s="13">
        <f>'PSL discount calculation'!I33*'PSL Invoice '!F34</f>
        <v>0</v>
      </c>
      <c r="I34" s="13">
        <f>'PSL discount calculation'!K33*'PSL Invoice '!F34</f>
        <v>0</v>
      </c>
      <c r="J34" s="13">
        <f>'PSL discount calculation'!M33*'PSL Invoice '!$F34</f>
        <v>0</v>
      </c>
      <c r="K34" s="13">
        <f>'PSL discount calculation'!O33*'PSL Invoice '!$F34</f>
        <v>0</v>
      </c>
      <c r="L34" s="13">
        <f>'PSL discount calculation'!Q33*'PSL Invoice '!$F34</f>
        <v>0</v>
      </c>
      <c r="M34" s="13">
        <f>'PSL discount calculation'!S33*'PSL Invoice '!$F34</f>
        <v>0</v>
      </c>
      <c r="N34" s="13">
        <f>'PSL discount calculation'!U33*'PSL Invoice '!$F34</f>
        <v>0</v>
      </c>
      <c r="O34" s="13">
        <f>'PSL discount calculation'!W33*'PSL Invoice '!$F34</f>
        <v>0</v>
      </c>
      <c r="P34" s="13">
        <f>'PSL discount calculation'!Y33*'PSL Invoice '!$F34</f>
        <v>0</v>
      </c>
      <c r="Q34" s="13">
        <f>'PSL discount calculation'!AA33*'PSL Invoice '!$F34</f>
        <v>0</v>
      </c>
      <c r="R34" s="13">
        <f>'PSL discount calculation'!AC33*'PSL Invoice '!$F34</f>
        <v>0</v>
      </c>
      <c r="S34" s="12">
        <f t="shared" si="1"/>
        <v>0</v>
      </c>
    </row>
    <row r="35" spans="1:19" x14ac:dyDescent="0.35">
      <c r="A35" s="131"/>
      <c r="B35" s="156"/>
      <c r="C35" s="10" t="str">
        <f>'PSL discount calculation'!C34</f>
        <v>SMI 1.5</v>
      </c>
      <c r="D35" s="11">
        <f>'PSL discount calculation'!D34</f>
        <v>64.800000000000011</v>
      </c>
      <c r="E35" s="11">
        <f>'PSL discount calculation'!E34</f>
        <v>2.5920000000000005</v>
      </c>
      <c r="F35" s="11">
        <f t="shared" si="0"/>
        <v>62.208000000000013</v>
      </c>
      <c r="G35" s="13">
        <f>'PSL discount calculation'!G34*'PSL Invoice '!F35</f>
        <v>0</v>
      </c>
      <c r="H35" s="13">
        <f>'PSL discount calculation'!I34*'PSL Invoice '!F35</f>
        <v>0</v>
      </c>
      <c r="I35" s="13">
        <f>'PSL discount calculation'!K34*'PSL Invoice '!F35</f>
        <v>0</v>
      </c>
      <c r="J35" s="13">
        <f>'PSL discount calculation'!M34*'PSL Invoice '!$F35</f>
        <v>0</v>
      </c>
      <c r="K35" s="13">
        <f>'PSL discount calculation'!O34*'PSL Invoice '!$F35</f>
        <v>0</v>
      </c>
      <c r="L35" s="13">
        <f>'PSL discount calculation'!Q34*'PSL Invoice '!$F35</f>
        <v>0</v>
      </c>
      <c r="M35" s="13">
        <f>'PSL discount calculation'!S34*'PSL Invoice '!$F35</f>
        <v>0</v>
      </c>
      <c r="N35" s="13">
        <f>'PSL discount calculation'!U34*'PSL Invoice '!$F35</f>
        <v>0</v>
      </c>
      <c r="O35" s="13">
        <f>'PSL discount calculation'!W34*'PSL Invoice '!$F35</f>
        <v>0</v>
      </c>
      <c r="P35" s="13">
        <f>'PSL discount calculation'!Y34*'PSL Invoice '!$F35</f>
        <v>0</v>
      </c>
      <c r="Q35" s="13">
        <f>'PSL discount calculation'!AA34*'PSL Invoice '!$F35</f>
        <v>0</v>
      </c>
      <c r="R35" s="13">
        <f>'PSL discount calculation'!AC34*'PSL Invoice '!$F35</f>
        <v>0</v>
      </c>
      <c r="S35" s="12">
        <f t="shared" si="1"/>
        <v>0</v>
      </c>
    </row>
    <row r="36" spans="1:19" x14ac:dyDescent="0.35">
      <c r="A36" s="131"/>
      <c r="B36" s="156"/>
      <c r="C36" s="10" t="str">
        <f>'PSL discount calculation'!C35</f>
        <v>SMI Dbl</v>
      </c>
      <c r="D36" s="11">
        <f>'PSL discount calculation'!D35</f>
        <v>86.4</v>
      </c>
      <c r="E36" s="11">
        <f>'PSL discount calculation'!E35</f>
        <v>3.4560000000000004</v>
      </c>
      <c r="F36" s="11">
        <f t="shared" si="0"/>
        <v>82.944000000000003</v>
      </c>
      <c r="G36" s="13">
        <f>'PSL discount calculation'!G35*'PSL Invoice '!F36</f>
        <v>0</v>
      </c>
      <c r="H36" s="13">
        <f>'PSL discount calculation'!I35*'PSL Invoice '!F36</f>
        <v>0</v>
      </c>
      <c r="I36" s="13">
        <f>'PSL discount calculation'!K35*'PSL Invoice '!F36</f>
        <v>0</v>
      </c>
      <c r="J36" s="13">
        <f>'PSL discount calculation'!M35*'PSL Invoice '!$F36</f>
        <v>0</v>
      </c>
      <c r="K36" s="13">
        <f>'PSL discount calculation'!O35*'PSL Invoice '!$F36</f>
        <v>0</v>
      </c>
      <c r="L36" s="13">
        <f>'PSL discount calculation'!Q35*'PSL Invoice '!$F36</f>
        <v>0</v>
      </c>
      <c r="M36" s="13">
        <f>'PSL discount calculation'!S35*'PSL Invoice '!$F36</f>
        <v>0</v>
      </c>
      <c r="N36" s="13">
        <f>'PSL discount calculation'!U35*'PSL Invoice '!$F36</f>
        <v>0</v>
      </c>
      <c r="O36" s="13">
        <f>'PSL discount calculation'!W35*'PSL Invoice '!$F36</f>
        <v>0</v>
      </c>
      <c r="P36" s="13">
        <f>'PSL discount calculation'!Y35*'PSL Invoice '!$F36</f>
        <v>0</v>
      </c>
      <c r="Q36" s="13">
        <f>'PSL discount calculation'!AA35*'PSL Invoice '!$F36</f>
        <v>0</v>
      </c>
      <c r="R36" s="13">
        <f>'PSL discount calculation'!AC35*'PSL Invoice '!$F36</f>
        <v>0</v>
      </c>
      <c r="S36" s="12">
        <f t="shared" si="1"/>
        <v>0</v>
      </c>
    </row>
    <row r="37" spans="1:19" ht="20" x14ac:dyDescent="0.35">
      <c r="A37" s="131">
        <v>6</v>
      </c>
      <c r="B37" s="156">
        <f>'PSL discount calculation'!B36</f>
        <v>0.02</v>
      </c>
      <c r="C37" s="10" t="str">
        <f>'PSL discount calculation'!C36</f>
        <v>OV Single</v>
      </c>
      <c r="D37" s="11">
        <f>'PSL discount calculation'!D36</f>
        <v>65.900000000000006</v>
      </c>
      <c r="E37" s="11">
        <f>'PSL discount calculation'!E36</f>
        <v>1.3180000000000001</v>
      </c>
      <c r="F37" s="11">
        <f t="shared" ref="F37:F42" si="2">D37-E37</f>
        <v>64.582000000000008</v>
      </c>
      <c r="G37" s="13">
        <f>'PSL discount calculation'!G36*'PSL Invoice '!F37</f>
        <v>0</v>
      </c>
      <c r="H37" s="13">
        <f>'PSL discount calculation'!I36*'PSL Invoice '!F37</f>
        <v>0</v>
      </c>
      <c r="I37" s="13">
        <f>'PSL discount calculation'!K36*'PSL Invoice '!F37</f>
        <v>0</v>
      </c>
      <c r="J37" s="13">
        <f>'PSL discount calculation'!M36*'PSL Invoice '!$F37</f>
        <v>0</v>
      </c>
      <c r="K37" s="13">
        <f>'PSL discount calculation'!O36*'PSL Invoice '!$F37</f>
        <v>0</v>
      </c>
      <c r="L37" s="13">
        <f>'PSL discount calculation'!Q36*'PSL Invoice '!$F37</f>
        <v>0</v>
      </c>
      <c r="M37" s="13">
        <f>'PSL discount calculation'!S36*'PSL Invoice '!$F37</f>
        <v>0</v>
      </c>
      <c r="N37" s="13">
        <f>'PSL discount calculation'!U36*'PSL Invoice '!$F37</f>
        <v>0</v>
      </c>
      <c r="O37" s="13">
        <f>'PSL discount calculation'!W36*'PSL Invoice '!$F37</f>
        <v>0</v>
      </c>
      <c r="P37" s="13">
        <f>'PSL discount calculation'!Y36*'PSL Invoice '!$F37</f>
        <v>0</v>
      </c>
      <c r="Q37" s="13">
        <f>'PSL discount calculation'!AA36*'PSL Invoice '!$F37</f>
        <v>0</v>
      </c>
      <c r="R37" s="13">
        <f>'PSL discount calculation'!AC36*'PSL Invoice '!$F37</f>
        <v>0</v>
      </c>
      <c r="S37" s="12">
        <f t="shared" si="1"/>
        <v>0</v>
      </c>
    </row>
    <row r="38" spans="1:19" x14ac:dyDescent="0.35">
      <c r="A38" s="131"/>
      <c r="B38" s="156"/>
      <c r="C38" s="10" t="str">
        <f>'PSL discount calculation'!C37</f>
        <v>OV 1.5</v>
      </c>
      <c r="D38" s="11">
        <f>'PSL discount calculation'!D37</f>
        <v>98.850000000000009</v>
      </c>
      <c r="E38" s="11">
        <f>'PSL discount calculation'!E37</f>
        <v>1.9770000000000003</v>
      </c>
      <c r="F38" s="11">
        <f t="shared" si="2"/>
        <v>96.873000000000005</v>
      </c>
      <c r="G38" s="13">
        <f>'PSL discount calculation'!G37*'PSL Invoice '!F38</f>
        <v>0</v>
      </c>
      <c r="H38" s="13">
        <f>'PSL discount calculation'!I37*'PSL Invoice '!F38</f>
        <v>0</v>
      </c>
      <c r="I38" s="13">
        <f>'PSL discount calculation'!K37*'PSL Invoice '!F38</f>
        <v>0</v>
      </c>
      <c r="J38" s="13">
        <f>'PSL discount calculation'!M37*'PSL Invoice '!$F38</f>
        <v>0</v>
      </c>
      <c r="K38" s="13">
        <f>'PSL discount calculation'!O37*'PSL Invoice '!$F38</f>
        <v>0</v>
      </c>
      <c r="L38" s="13">
        <f>'PSL discount calculation'!Q37*'PSL Invoice '!$F38</f>
        <v>0</v>
      </c>
      <c r="M38" s="13">
        <f>'PSL discount calculation'!S37*'PSL Invoice '!$F38</f>
        <v>0</v>
      </c>
      <c r="N38" s="13">
        <f>'PSL discount calculation'!U37*'PSL Invoice '!$F38</f>
        <v>0</v>
      </c>
      <c r="O38" s="13">
        <f>'PSL discount calculation'!W37*'PSL Invoice '!$F38</f>
        <v>0</v>
      </c>
      <c r="P38" s="13">
        <f>'PSL discount calculation'!Y37*'PSL Invoice '!$F38</f>
        <v>0</v>
      </c>
      <c r="Q38" s="13">
        <f>'PSL discount calculation'!AA37*'PSL Invoice '!$F38</f>
        <v>0</v>
      </c>
      <c r="R38" s="13">
        <f>'PSL discount calculation'!AC37*'PSL Invoice '!$F38</f>
        <v>0</v>
      </c>
      <c r="S38" s="12">
        <f t="shared" si="1"/>
        <v>0</v>
      </c>
    </row>
    <row r="39" spans="1:19" x14ac:dyDescent="0.35">
      <c r="A39" s="131"/>
      <c r="B39" s="156"/>
      <c r="C39" s="10" t="str">
        <f>'PSL discount calculation'!C38</f>
        <v>OV Dbl</v>
      </c>
      <c r="D39" s="11">
        <f>'PSL discount calculation'!D38</f>
        <v>131.80000000000001</v>
      </c>
      <c r="E39" s="11">
        <f>'PSL discount calculation'!E38</f>
        <v>2.6360000000000001</v>
      </c>
      <c r="F39" s="11">
        <f t="shared" si="2"/>
        <v>129.16400000000002</v>
      </c>
      <c r="G39" s="13">
        <f>'PSL discount calculation'!G38*'PSL Invoice '!F39</f>
        <v>0</v>
      </c>
      <c r="H39" s="13">
        <f>'PSL discount calculation'!I38*'PSL Invoice '!F39</f>
        <v>0</v>
      </c>
      <c r="I39" s="13">
        <f>'PSL discount calculation'!K38*'PSL Invoice '!F39</f>
        <v>0</v>
      </c>
      <c r="J39" s="13">
        <f>'PSL discount calculation'!M38*'PSL Invoice '!$F39</f>
        <v>0</v>
      </c>
      <c r="K39" s="13">
        <f>'PSL discount calculation'!O38*'PSL Invoice '!$F39</f>
        <v>0</v>
      </c>
      <c r="L39" s="13">
        <f>'PSL discount calculation'!Q38*'PSL Invoice '!$F39</f>
        <v>0</v>
      </c>
      <c r="M39" s="13">
        <f>'PSL discount calculation'!S38*'PSL Invoice '!$F39</f>
        <v>0</v>
      </c>
      <c r="N39" s="13">
        <f>'PSL discount calculation'!U38*'PSL Invoice '!$F39</f>
        <v>0</v>
      </c>
      <c r="O39" s="13">
        <f>'PSL discount calculation'!W38*'PSL Invoice '!$F39</f>
        <v>0</v>
      </c>
      <c r="P39" s="13">
        <f>'PSL discount calculation'!Y38*'PSL Invoice '!$F39</f>
        <v>0</v>
      </c>
      <c r="Q39" s="13">
        <f>'PSL discount calculation'!AA38*'PSL Invoice '!$F39</f>
        <v>0</v>
      </c>
      <c r="R39" s="13">
        <f>'PSL discount calculation'!AC38*'PSL Invoice '!$F39</f>
        <v>0</v>
      </c>
      <c r="S39" s="12">
        <f t="shared" si="1"/>
        <v>0</v>
      </c>
    </row>
    <row r="40" spans="1:19" ht="20" x14ac:dyDescent="0.35">
      <c r="A40" s="131"/>
      <c r="B40" s="156"/>
      <c r="C40" s="10" t="str">
        <f>'PSL discount calculation'!C39</f>
        <v>SMI Single</v>
      </c>
      <c r="D40" s="11">
        <f>'PSL discount calculation'!D39</f>
        <v>43.2</v>
      </c>
      <c r="E40" s="11">
        <f>'PSL discount calculation'!E39</f>
        <v>0.8640000000000001</v>
      </c>
      <c r="F40" s="11">
        <f t="shared" si="2"/>
        <v>42.336000000000006</v>
      </c>
      <c r="G40" s="13">
        <f>'PSL discount calculation'!G39*'PSL Invoice '!F40</f>
        <v>0</v>
      </c>
      <c r="H40" s="13">
        <f>'PSL discount calculation'!I39*'PSL Invoice '!F40</f>
        <v>0</v>
      </c>
      <c r="I40" s="13">
        <f>'PSL discount calculation'!K39*'PSL Invoice '!F40</f>
        <v>0</v>
      </c>
      <c r="J40" s="13">
        <f>'PSL discount calculation'!M39*'PSL Invoice '!$F40</f>
        <v>0</v>
      </c>
      <c r="K40" s="13">
        <f>'PSL discount calculation'!O39*'PSL Invoice '!$F40</f>
        <v>0</v>
      </c>
      <c r="L40" s="13">
        <f>'PSL discount calculation'!Q39*'PSL Invoice '!$F40</f>
        <v>0</v>
      </c>
      <c r="M40" s="13">
        <f>'PSL discount calculation'!S39*'PSL Invoice '!$F40</f>
        <v>0</v>
      </c>
      <c r="N40" s="13">
        <f>'PSL discount calculation'!U39*'PSL Invoice '!$F40</f>
        <v>0</v>
      </c>
      <c r="O40" s="13">
        <f>'PSL discount calculation'!W39*'PSL Invoice '!$F40</f>
        <v>0</v>
      </c>
      <c r="P40" s="13">
        <f>'PSL discount calculation'!Y39*'PSL Invoice '!$F40</f>
        <v>0</v>
      </c>
      <c r="Q40" s="13">
        <f>'PSL discount calculation'!AA39*'PSL Invoice '!$F40</f>
        <v>0</v>
      </c>
      <c r="R40" s="13">
        <f>'PSL discount calculation'!AC39*'PSL Invoice '!$F40</f>
        <v>0</v>
      </c>
      <c r="S40" s="12">
        <f t="shared" si="1"/>
        <v>0</v>
      </c>
    </row>
    <row r="41" spans="1:19" x14ac:dyDescent="0.35">
      <c r="A41" s="131"/>
      <c r="B41" s="156"/>
      <c r="C41" s="10" t="str">
        <f>'PSL discount calculation'!C40</f>
        <v>SMI 1.5</v>
      </c>
      <c r="D41" s="11">
        <f>'PSL discount calculation'!D40</f>
        <v>64.800000000000011</v>
      </c>
      <c r="E41" s="11">
        <f>'PSL discount calculation'!E40</f>
        <v>1.2960000000000003</v>
      </c>
      <c r="F41" s="11">
        <f t="shared" si="2"/>
        <v>63.504000000000012</v>
      </c>
      <c r="G41" s="13">
        <f>'PSL discount calculation'!G40*'PSL Invoice '!F41</f>
        <v>0</v>
      </c>
      <c r="H41" s="13">
        <f>'PSL discount calculation'!I40*'PSL Invoice '!F41</f>
        <v>0</v>
      </c>
      <c r="I41" s="13">
        <f>'PSL discount calculation'!K40*'PSL Invoice '!F41</f>
        <v>0</v>
      </c>
      <c r="J41" s="13">
        <f>'PSL discount calculation'!M40*'PSL Invoice '!$F41</f>
        <v>0</v>
      </c>
      <c r="K41" s="13">
        <f>'PSL discount calculation'!O40*'PSL Invoice '!$F41</f>
        <v>0</v>
      </c>
      <c r="L41" s="13">
        <f>'PSL discount calculation'!Q40*'PSL Invoice '!$F41</f>
        <v>0</v>
      </c>
      <c r="M41" s="13">
        <f>'PSL discount calculation'!S40*'PSL Invoice '!$F41</f>
        <v>0</v>
      </c>
      <c r="N41" s="13">
        <f>'PSL discount calculation'!U40*'PSL Invoice '!$F41</f>
        <v>0</v>
      </c>
      <c r="O41" s="13">
        <f>'PSL discount calculation'!W40*'PSL Invoice '!$F41</f>
        <v>0</v>
      </c>
      <c r="P41" s="13">
        <f>'PSL discount calculation'!Y40*'PSL Invoice '!$F41</f>
        <v>0</v>
      </c>
      <c r="Q41" s="13">
        <f>'PSL discount calculation'!AA40*'PSL Invoice '!$F41</f>
        <v>0</v>
      </c>
      <c r="R41" s="13">
        <f>'PSL discount calculation'!AC40*'PSL Invoice '!$F41</f>
        <v>0</v>
      </c>
      <c r="S41" s="12">
        <f t="shared" si="1"/>
        <v>0</v>
      </c>
    </row>
    <row r="42" spans="1:19" x14ac:dyDescent="0.35">
      <c r="A42" s="131"/>
      <c r="B42" s="156"/>
      <c r="C42" s="10" t="str">
        <f>'PSL discount calculation'!C41</f>
        <v>SMI Dbl</v>
      </c>
      <c r="D42" s="11">
        <f>'PSL discount calculation'!D41</f>
        <v>86.4</v>
      </c>
      <c r="E42" s="11">
        <f>'PSL discount calculation'!E41</f>
        <v>1.7280000000000002</v>
      </c>
      <c r="F42" s="11">
        <f t="shared" si="2"/>
        <v>84.672000000000011</v>
      </c>
      <c r="G42" s="13">
        <f>'PSL discount calculation'!G41*'PSL Invoice '!F42</f>
        <v>0</v>
      </c>
      <c r="H42" s="13">
        <f>'PSL discount calculation'!I41*'PSL Invoice '!F42</f>
        <v>0</v>
      </c>
      <c r="I42" s="13">
        <f>'PSL discount calculation'!K41*'PSL Invoice '!F42</f>
        <v>0</v>
      </c>
      <c r="J42" s="13">
        <f>'PSL discount calculation'!M41*'PSL Invoice '!$F42</f>
        <v>0</v>
      </c>
      <c r="K42" s="13">
        <f>'PSL discount calculation'!O41*'PSL Invoice '!$F42</f>
        <v>0</v>
      </c>
      <c r="L42" s="13">
        <f>'PSL discount calculation'!Q41*'PSL Invoice '!$F42</f>
        <v>0</v>
      </c>
      <c r="M42" s="13">
        <f>'PSL discount calculation'!S41*'PSL Invoice '!$F42</f>
        <v>0</v>
      </c>
      <c r="N42" s="13">
        <f>'PSL discount calculation'!U41*'PSL Invoice '!$F42</f>
        <v>0</v>
      </c>
      <c r="O42" s="13">
        <f>'PSL discount calculation'!W41*'PSL Invoice '!$F42</f>
        <v>0</v>
      </c>
      <c r="P42" s="13">
        <f>'PSL discount calculation'!Y41*'PSL Invoice '!$F42</f>
        <v>0</v>
      </c>
      <c r="Q42" s="13">
        <f>'PSL discount calculation'!AA41*'PSL Invoice '!$F42</f>
        <v>0</v>
      </c>
      <c r="R42" s="13">
        <f>'PSL discount calculation'!AC41*'PSL Invoice '!$F42</f>
        <v>0</v>
      </c>
      <c r="S42" s="12">
        <f>SUM(G42:R42)</f>
        <v>0</v>
      </c>
    </row>
    <row r="43" spans="1:19" x14ac:dyDescent="0.35">
      <c r="A43" s="178"/>
      <c r="B43" s="183"/>
      <c r="C43" s="103"/>
      <c r="D43" s="104"/>
      <c r="E43" s="104"/>
      <c r="F43" s="104"/>
      <c r="G43" s="12">
        <f>SUM(G7:G42)</f>
        <v>0</v>
      </c>
      <c r="H43" s="12">
        <f t="shared" ref="H43:S43" si="3">SUM(H7:H42)</f>
        <v>0</v>
      </c>
      <c r="I43" s="12">
        <f t="shared" si="3"/>
        <v>0</v>
      </c>
      <c r="J43" s="12">
        <f t="shared" si="3"/>
        <v>0</v>
      </c>
      <c r="K43" s="12">
        <f t="shared" si="3"/>
        <v>0</v>
      </c>
      <c r="L43" s="12">
        <f t="shared" si="3"/>
        <v>0</v>
      </c>
      <c r="M43" s="12">
        <f t="shared" si="3"/>
        <v>0</v>
      </c>
      <c r="N43" s="12">
        <f t="shared" si="3"/>
        <v>0</v>
      </c>
      <c r="O43" s="12">
        <f t="shared" si="3"/>
        <v>0</v>
      </c>
      <c r="P43" s="12">
        <f t="shared" si="3"/>
        <v>0</v>
      </c>
      <c r="Q43" s="12">
        <f t="shared" si="3"/>
        <v>0</v>
      </c>
      <c r="R43" s="12">
        <f t="shared" si="3"/>
        <v>0</v>
      </c>
      <c r="S43" s="12">
        <f t="shared" si="3"/>
        <v>0</v>
      </c>
    </row>
    <row r="44" spans="1:19" x14ac:dyDescent="0.35">
      <c r="A44" s="178"/>
      <c r="B44" s="183"/>
      <c r="C44" s="103"/>
      <c r="D44" s="104"/>
      <c r="E44" s="104"/>
      <c r="F44" s="104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19" x14ac:dyDescent="0.35">
      <c r="A45" s="178"/>
      <c r="B45" s="183"/>
      <c r="C45" s="103"/>
      <c r="D45" s="104"/>
      <c r="F45" s="16" t="s">
        <v>49</v>
      </c>
      <c r="G45" s="12">
        <f>'Period PSL data'!D29</f>
        <v>0</v>
      </c>
      <c r="H45" s="12">
        <f>'Period PSL data'!E29</f>
        <v>0</v>
      </c>
      <c r="I45" s="12">
        <f>'Period PSL data'!F29</f>
        <v>0</v>
      </c>
      <c r="J45" s="12">
        <f>'Period PSL data'!G29</f>
        <v>0</v>
      </c>
      <c r="K45" s="12">
        <f>'Period PSL data'!H29</f>
        <v>0</v>
      </c>
      <c r="L45" s="12">
        <f>'Period PSL data'!I29</f>
        <v>0</v>
      </c>
      <c r="M45" s="12">
        <f>'Period PSL data'!J29</f>
        <v>0</v>
      </c>
      <c r="N45" s="12">
        <f>'Period PSL data'!K29</f>
        <v>0</v>
      </c>
      <c r="O45" s="12">
        <f>'Period PSL data'!L29</f>
        <v>0</v>
      </c>
      <c r="P45" s="12">
        <f>'Period PSL data'!M29</f>
        <v>0</v>
      </c>
      <c r="Q45" s="12">
        <f>'Period PSL data'!N29</f>
        <v>0</v>
      </c>
      <c r="R45" s="12">
        <f>'Period PSL data'!O29</f>
        <v>0</v>
      </c>
      <c r="S45" s="12">
        <f>SUM(G45:R45)</f>
        <v>0</v>
      </c>
    </row>
    <row r="46" spans="1:19" ht="16" thickBot="1" x14ac:dyDescent="0.4">
      <c r="A46" s="178"/>
      <c r="B46" s="183"/>
      <c r="C46" s="103"/>
      <c r="D46" s="104"/>
      <c r="F46" s="30"/>
      <c r="G46" s="14">
        <f>SUM(G43:G45)</f>
        <v>0</v>
      </c>
      <c r="H46" s="14">
        <f t="shared" ref="H46:R46" si="4">SUM(H43:H45)</f>
        <v>0</v>
      </c>
      <c r="I46" s="14">
        <f t="shared" si="4"/>
        <v>0</v>
      </c>
      <c r="J46" s="14">
        <f t="shared" si="4"/>
        <v>0</v>
      </c>
      <c r="K46" s="14">
        <f t="shared" si="4"/>
        <v>0</v>
      </c>
      <c r="L46" s="14">
        <f t="shared" si="4"/>
        <v>0</v>
      </c>
      <c r="M46" s="14">
        <f t="shared" si="4"/>
        <v>0</v>
      </c>
      <c r="N46" s="14">
        <f t="shared" si="4"/>
        <v>0</v>
      </c>
      <c r="O46" s="14">
        <f t="shared" si="4"/>
        <v>0</v>
      </c>
      <c r="P46" s="14">
        <f t="shared" si="4"/>
        <v>0</v>
      </c>
      <c r="Q46" s="14">
        <f t="shared" si="4"/>
        <v>0</v>
      </c>
      <c r="R46" s="14">
        <f t="shared" si="4"/>
        <v>0</v>
      </c>
      <c r="S46" s="12">
        <f>SUM(G46:R46)</f>
        <v>0</v>
      </c>
    </row>
    <row r="47" spans="1:19" ht="16" thickTop="1" x14ac:dyDescent="0.35">
      <c r="C47" s="214" t="s">
        <v>133</v>
      </c>
      <c r="D47" s="214"/>
      <c r="E47" s="214"/>
      <c r="F47" s="31"/>
      <c r="G47" s="15">
        <f>('Period PSL data'!D5*'Period PSL data'!$C$5)+('Period PSL data'!D6*'Period PSL data'!$C$6)+('Period PSL data'!D7*'Period PSL data'!$C$7)+('Period PSL data'!D8*'Period PSL data'!$C$8)+('Period PSL data'!D9*'Period PSL data'!$C$9)+('Period PSL data'!D10*'Period PSL data'!$C$10)+'Period PSL data'!D27</f>
        <v>0</v>
      </c>
      <c r="H47" s="15">
        <f>('Period PSL data'!E5*'Period PSL data'!$C$5)+('Period PSL data'!E6*'Period PSL data'!$C$6)+('Period PSL data'!E7*'Period PSL data'!$C$7)+('Period PSL data'!E8*'Period PSL data'!$C$8)+('Period PSL data'!E9*'Period PSL data'!$C$9)+('Period PSL data'!E10*'Period PSL data'!$C$10)+'Period PSL data'!E27</f>
        <v>0</v>
      </c>
      <c r="I47" s="15">
        <f>('Period PSL data'!F5*'Period PSL data'!$C$5)+('Period PSL data'!F6*'Period PSL data'!$C$6)+('Period PSL data'!F7*'Period PSL data'!$C$7)+('Period PSL data'!F8*'Period PSL data'!$C$8)+('Period PSL data'!F9*'Period PSL data'!$C$9)+('Period PSL data'!F10*'Period PSL data'!$C$10)+'Period PSL data'!F27</f>
        <v>0</v>
      </c>
      <c r="J47" s="15">
        <f>('Period PSL data'!G5*'Period PSL data'!$C$5)+('Period PSL data'!G6*'Period PSL data'!$C$6)+('Period PSL data'!G7*'Period PSL data'!$C$7)+('Period PSL data'!G8*'Period PSL data'!$C$8)+('Period PSL data'!G9*'Period PSL data'!$C$9)+('Period PSL data'!G10*'Period PSL data'!$C$10)+'Period PSL data'!G27</f>
        <v>0</v>
      </c>
      <c r="K47" s="15">
        <f>('Period PSL data'!H5*'Period PSL data'!$C$5)+('Period PSL data'!H6*'Period PSL data'!$C$6)+('Period PSL data'!H7*'Period PSL data'!$C$7)+('Period PSL data'!H8*'Period PSL data'!$C$8)+('Period PSL data'!H9*'Period PSL data'!$C$9)+('Period PSL data'!H10*'Period PSL data'!$C$10)+'Period PSL data'!H27</f>
        <v>0</v>
      </c>
      <c r="L47" s="15">
        <f>('Period PSL data'!I5*'Period PSL data'!$C$5)+('Period PSL data'!I6*'Period PSL data'!$C$6)+('Period PSL data'!I7*'Period PSL data'!$C$7)+('Period PSL data'!I8*'Period PSL data'!$C$8)+('Period PSL data'!I9*'Period PSL data'!$C$9)+('Period PSL data'!I10*'Period PSL data'!$C$10)+'Period PSL data'!I27</f>
        <v>0</v>
      </c>
      <c r="M47" s="15">
        <f>('Period PSL data'!J5*'Period PSL data'!$C$5)+('Period PSL data'!J6*'Period PSL data'!$C$6)+('Period PSL data'!J7*'Period PSL data'!$C$7)+('Period PSL data'!J8*'Period PSL data'!$C$8)+('Period PSL data'!J9*'Period PSL data'!$C$9)+('Period PSL data'!J10*'Period PSL data'!$C$10)+'Period PSL data'!J27</f>
        <v>0</v>
      </c>
      <c r="N47" s="15">
        <f>('Period PSL data'!K5*'Period PSL data'!$C$5)+('Period PSL data'!K6*'Period PSL data'!$C$6)+('Period PSL data'!K7*'Period PSL data'!$C$7)+('Period PSL data'!K8*'Period PSL data'!$C$8)+('Period PSL data'!K9*'Period PSL data'!$C$9)+('Period PSL data'!K10*'Period PSL data'!$C$10)+'Period PSL data'!K27</f>
        <v>0</v>
      </c>
      <c r="O47" s="15">
        <f>('Period PSL data'!L5*'Period PSL data'!$C$5)+('Period PSL data'!L6*'Period PSL data'!$C$6)+('Period PSL data'!L7*'Period PSL data'!$C$7)+('Period PSL data'!L8*'Period PSL data'!$C$8)+('Period PSL data'!L9*'Period PSL data'!$C$9)+('Period PSL data'!L10*'Period PSL data'!$C$10)+'Period PSL data'!L27</f>
        <v>0</v>
      </c>
      <c r="P47" s="15">
        <f>('Period PSL data'!M5*'Period PSL data'!$C$5)+('Period PSL data'!M6*'Period PSL data'!$C$6)+('Period PSL data'!M7*'Period PSL data'!$C$7)+('Period PSL data'!M8*'Period PSL data'!$C$8)+('Period PSL data'!M9*'Period PSL data'!$C$9)+('Period PSL data'!M10*'Period PSL data'!$C$10)+'Period PSL data'!M27</f>
        <v>0</v>
      </c>
      <c r="Q47" s="15">
        <f>('Period PSL data'!N5*'Period PSL data'!$C$5)+('Period PSL data'!N6*'Period PSL data'!$C$6)+('Period PSL data'!N7*'Period PSL data'!$C$7)+('Period PSL data'!N8*'Period PSL data'!$C$8)+('Period PSL data'!N9*'Period PSL data'!$C$9)+('Period PSL data'!N10*'Period PSL data'!$C$10)+'Period PSL data'!N27</f>
        <v>0</v>
      </c>
      <c r="R47" s="15">
        <f>('Period PSL data'!O5*'Period PSL data'!$C$5)+('Period PSL data'!O6*'Period PSL data'!$C$6)+('Period PSL data'!O7*'Period PSL data'!$C$7)+('Period PSL data'!O8*'Period PSL data'!$C$8)+('Period PSL data'!O9*'Period PSL data'!$C$9)+('Period PSL data'!O10*'Period PSL data'!$C$10)+'Period PSL data'!O27</f>
        <v>0</v>
      </c>
      <c r="S47" s="15">
        <f>SUM(G47:R47)</f>
        <v>0</v>
      </c>
    </row>
    <row r="48" spans="1:19" x14ac:dyDescent="0.35">
      <c r="C48" s="214" t="s">
        <v>83</v>
      </c>
      <c r="D48" s="214"/>
      <c r="E48" s="214"/>
      <c r="F48" s="26"/>
      <c r="G48" s="15">
        <f>G47-G46</f>
        <v>0</v>
      </c>
      <c r="H48" s="15">
        <f t="shared" ref="H48:R48" si="5">H47-H46</f>
        <v>0</v>
      </c>
      <c r="I48" s="15">
        <f t="shared" si="5"/>
        <v>0</v>
      </c>
      <c r="J48" s="15">
        <f t="shared" si="5"/>
        <v>0</v>
      </c>
      <c r="K48" s="15">
        <f t="shared" si="5"/>
        <v>0</v>
      </c>
      <c r="L48" s="15">
        <f t="shared" si="5"/>
        <v>0</v>
      </c>
      <c r="M48" s="15">
        <f t="shared" si="5"/>
        <v>0</v>
      </c>
      <c r="N48" s="15">
        <f t="shared" si="5"/>
        <v>0</v>
      </c>
      <c r="O48" s="15">
        <f t="shared" si="5"/>
        <v>0</v>
      </c>
      <c r="P48" s="15">
        <f t="shared" si="5"/>
        <v>0</v>
      </c>
      <c r="Q48" s="15">
        <f t="shared" si="5"/>
        <v>0</v>
      </c>
      <c r="R48" s="15">
        <f t="shared" si="5"/>
        <v>0</v>
      </c>
      <c r="S48" s="15">
        <f>SUM(G48:R48)</f>
        <v>0</v>
      </c>
    </row>
    <row r="49" spans="4:18" x14ac:dyDescent="0.35">
      <c r="D49"/>
      <c r="E49" s="26"/>
      <c r="F49" s="26"/>
      <c r="G49"/>
    </row>
    <row r="50" spans="4:18" x14ac:dyDescent="0.35">
      <c r="D50"/>
      <c r="E50" s="26"/>
      <c r="F50" s="26"/>
      <c r="G50"/>
    </row>
    <row r="52" spans="4:18" x14ac:dyDescent="0.35"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</sheetData>
  <sheetProtection algorithmName="SHA-512" hashValue="JsRhIo+Tl1YeNObrTgYfE/aDDTRVx31npMNlK7AHK88jM7wIOhQLJjaRPI0qATjOUKcdLAQYeygZwUgLMuIVMQ==" saltValue="4CsIpAB2cMKiRoISk7PjVg==" spinCount="100000" sheet="1" objects="1" scenarios="1"/>
  <mergeCells count="21">
    <mergeCell ref="A1:J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R5:R6"/>
    <mergeCell ref="M5:M6"/>
    <mergeCell ref="N5:N6"/>
    <mergeCell ref="C47:E47"/>
    <mergeCell ref="C48:E48"/>
    <mergeCell ref="K5:K6"/>
    <mergeCell ref="L5:L6"/>
    <mergeCell ref="O5:O6"/>
    <mergeCell ref="P5:P6"/>
    <mergeCell ref="Q5:Q6"/>
  </mergeCells>
  <pageMargins left="0.7" right="0.7" top="0.75" bottom="0.75" header="0.3" footer="0.3"/>
  <pageSetup paperSize="9" orientation="portrait" r:id="rId1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J65"/>
  <sheetViews>
    <sheetView showGridLines="0" zoomScaleNormal="100" workbookViewId="0">
      <selection activeCell="D22" sqref="D22"/>
    </sheetView>
  </sheetViews>
  <sheetFormatPr defaultColWidth="8.84375" defaultRowHeight="15.5" x14ac:dyDescent="0.35"/>
  <cols>
    <col min="1" max="1" width="19.4609375" customWidth="1"/>
    <col min="2" max="2" width="9.69140625" bestFit="1" customWidth="1"/>
    <col min="3" max="3" width="16.07421875" bestFit="1" customWidth="1"/>
    <col min="4" max="4" width="15.07421875" customWidth="1"/>
    <col min="5" max="5" width="31.69140625" customWidth="1"/>
    <col min="6" max="6" width="13.69140625" customWidth="1"/>
    <col min="7" max="7" width="25.23046875" customWidth="1"/>
    <col min="8" max="8" width="12.07421875" customWidth="1"/>
    <col min="9" max="9" width="9.3046875" bestFit="1" customWidth="1"/>
    <col min="10" max="10" width="14.53515625" customWidth="1"/>
  </cols>
  <sheetData>
    <row r="1" spans="1:10" x14ac:dyDescent="0.35">
      <c r="A1" s="6" t="s">
        <v>160</v>
      </c>
    </row>
    <row r="2" spans="1:10" x14ac:dyDescent="0.35">
      <c r="A2" s="6"/>
      <c r="G2" s="38" t="s">
        <v>0</v>
      </c>
    </row>
    <row r="3" spans="1:10" x14ac:dyDescent="0.35">
      <c r="A3" s="39" t="s">
        <v>1</v>
      </c>
      <c r="I3" s="196" t="str">
        <f>'[1]Final invoice totals'!A3</f>
        <v>Regulated Charge RSL</v>
      </c>
      <c r="J3" s="196"/>
    </row>
    <row r="4" spans="1:10" s="41" customFormat="1" x14ac:dyDescent="0.35">
      <c r="A4" s="40" t="s">
        <v>2</v>
      </c>
      <c r="B4" s="106"/>
      <c r="C4" s="106"/>
      <c r="D4" s="106"/>
      <c r="E4" s="106"/>
      <c r="F4" s="106"/>
      <c r="G4" s="106"/>
      <c r="H4" s="106" t="s">
        <v>3</v>
      </c>
      <c r="I4" s="106" t="s">
        <v>4</v>
      </c>
      <c r="J4" s="106" t="s">
        <v>5</v>
      </c>
    </row>
    <row r="5" spans="1:10" x14ac:dyDescent="0.35">
      <c r="A5" t="s">
        <v>161</v>
      </c>
      <c r="G5" s="99" t="s">
        <v>6</v>
      </c>
      <c r="H5" s="108" t="str">
        <f>'[1]PIA discount calculation'!D6</f>
        <v>OV Single</v>
      </c>
      <c r="I5" s="109">
        <f>'Charging RSL Spilt per grade'!AD6</f>
        <v>0</v>
      </c>
      <c r="J5" s="110">
        <f>'RSL new Invoice'!R3</f>
        <v>0</v>
      </c>
    </row>
    <row r="6" spans="1:10" x14ac:dyDescent="0.35">
      <c r="A6" t="s">
        <v>162</v>
      </c>
      <c r="G6" s="90">
        <f>'Annual data (rates, Bands, disc'!E3</f>
        <v>0.9</v>
      </c>
      <c r="H6" s="108" t="str">
        <f>'[1]PIA discount calculation'!D7</f>
        <v>OV 1.5</v>
      </c>
      <c r="I6" s="109">
        <f>'Charging RSL Spilt per grade'!AD7</f>
        <v>0</v>
      </c>
      <c r="J6" s="110">
        <f>'RSL new Invoice'!R4</f>
        <v>0</v>
      </c>
    </row>
    <row r="7" spans="1:10" x14ac:dyDescent="0.35">
      <c r="A7" t="s">
        <v>7</v>
      </c>
      <c r="G7" s="99"/>
      <c r="H7" s="108" t="str">
        <f>'[1]PIA discount calculation'!D8</f>
        <v>OV Dbl</v>
      </c>
      <c r="I7" s="109">
        <f>'Charging RSL Spilt per grade'!AD8</f>
        <v>0</v>
      </c>
      <c r="J7" s="110">
        <f>'RSL new Invoice'!R5</f>
        <v>0</v>
      </c>
    </row>
    <row r="8" spans="1:10" x14ac:dyDescent="0.35">
      <c r="G8" s="99"/>
      <c r="H8" s="108" t="str">
        <f>'[1]PIA discount calculation'!D9</f>
        <v>MHI Single</v>
      </c>
      <c r="I8" s="109">
        <f>'Charging RSL Spilt per grade'!AD9</f>
        <v>0</v>
      </c>
      <c r="J8" s="110">
        <f>'RSL new Invoice'!R6</f>
        <v>0</v>
      </c>
    </row>
    <row r="9" spans="1:10" x14ac:dyDescent="0.35">
      <c r="A9" s="40" t="s">
        <v>125</v>
      </c>
      <c r="G9" s="99"/>
      <c r="H9" s="108" t="str">
        <f>'[1]PIA discount calculation'!D10</f>
        <v>MHI 1.5</v>
      </c>
      <c r="I9" s="109">
        <f>'Charging RSL Spilt per grade'!AD10</f>
        <v>0</v>
      </c>
      <c r="J9" s="110">
        <f>'RSL new Invoice'!R7</f>
        <v>0</v>
      </c>
    </row>
    <row r="10" spans="1:10" x14ac:dyDescent="0.35">
      <c r="A10" t="s">
        <v>9</v>
      </c>
      <c r="G10" s="99"/>
      <c r="H10" s="108" t="str">
        <f>'[1]PIA discount calculation'!D11</f>
        <v>MHI Dbl</v>
      </c>
      <c r="I10" s="109">
        <f>'Charging RSL Spilt per grade'!AD11</f>
        <v>0</v>
      </c>
      <c r="J10" s="110">
        <f>'RSL new Invoice'!R8</f>
        <v>0</v>
      </c>
    </row>
    <row r="11" spans="1:10" x14ac:dyDescent="0.35">
      <c r="G11" s="100" t="s">
        <v>10</v>
      </c>
      <c r="H11" s="108" t="str">
        <f>'[1]PIA discount calculation'!D14</f>
        <v>OV Single</v>
      </c>
      <c r="I11" s="109">
        <f>'Charging RSL Spilt per grade'!AD12</f>
        <v>0</v>
      </c>
      <c r="J11" s="110">
        <f>'RSL new Invoice'!R9</f>
        <v>0</v>
      </c>
    </row>
    <row r="12" spans="1:10" x14ac:dyDescent="0.35">
      <c r="A12" s="40" t="s">
        <v>134</v>
      </c>
      <c r="G12" s="91">
        <f>'Annual data (rates, Bands, disc'!E4</f>
        <v>0.75</v>
      </c>
      <c r="H12" s="108" t="str">
        <f>'[1]PIA discount calculation'!D15</f>
        <v>OV 1.5</v>
      </c>
      <c r="I12" s="109">
        <f>'Charging RSL Spilt per grade'!AD13</f>
        <v>0</v>
      </c>
      <c r="J12" s="110">
        <f>'RSL new Invoice'!R10</f>
        <v>0</v>
      </c>
    </row>
    <row r="13" spans="1:10" x14ac:dyDescent="0.35">
      <c r="A13" t="s">
        <v>12</v>
      </c>
      <c r="G13" s="100"/>
      <c r="H13" s="108" t="str">
        <f>'[1]PIA discount calculation'!D16</f>
        <v>OV Dbl</v>
      </c>
      <c r="I13" s="109">
        <f>'Charging RSL Spilt per grade'!AD14</f>
        <v>0</v>
      </c>
      <c r="J13" s="110">
        <f>'RSL new Invoice'!R11</f>
        <v>0</v>
      </c>
    </row>
    <row r="14" spans="1:10" x14ac:dyDescent="0.35">
      <c r="A14" t="s">
        <v>13</v>
      </c>
      <c r="G14" s="100"/>
      <c r="H14" s="108" t="str">
        <f>'[1]PIA discount calculation'!D17</f>
        <v>MHI Single</v>
      </c>
      <c r="I14" s="109">
        <f>'Charging RSL Spilt per grade'!AD15</f>
        <v>0</v>
      </c>
      <c r="J14" s="110">
        <f>'RSL new Invoice'!R12</f>
        <v>0</v>
      </c>
    </row>
    <row r="15" spans="1:10" x14ac:dyDescent="0.35">
      <c r="G15" s="100"/>
      <c r="H15" s="108" t="str">
        <f>'[1]PIA discount calculation'!D18</f>
        <v>MHI 1.5</v>
      </c>
      <c r="I15" s="109">
        <f>'Charging RSL Spilt per grade'!AD16</f>
        <v>0</v>
      </c>
      <c r="J15" s="110">
        <f>'RSL new Invoice'!R13</f>
        <v>0</v>
      </c>
    </row>
    <row r="16" spans="1:10" x14ac:dyDescent="0.35">
      <c r="A16" s="40" t="s">
        <v>14</v>
      </c>
      <c r="G16" s="100"/>
      <c r="H16" s="108" t="str">
        <f>'[1]PIA discount calculation'!D19</f>
        <v>MHI Dbl</v>
      </c>
      <c r="I16" s="109">
        <f>'Charging RSL Spilt per grade'!AD17</f>
        <v>0</v>
      </c>
      <c r="J16" s="110">
        <f>'RSL new Invoice'!R14</f>
        <v>0</v>
      </c>
    </row>
    <row r="17" spans="1:10" ht="16.5" customHeight="1" x14ac:dyDescent="0.35">
      <c r="A17" t="s">
        <v>15</v>
      </c>
      <c r="G17" s="101" t="s">
        <v>16</v>
      </c>
      <c r="H17" s="108" t="str">
        <f>'[1]PIA discount calculation'!D22</f>
        <v>OV Single</v>
      </c>
      <c r="I17" s="109">
        <f>'Charging RSL Spilt per grade'!AD18</f>
        <v>0</v>
      </c>
      <c r="J17" s="110">
        <f>'RSL new Invoice'!R15</f>
        <v>0</v>
      </c>
    </row>
    <row r="18" spans="1:10" x14ac:dyDescent="0.35">
      <c r="G18" s="92">
        <f>'Annual data (rates, Bands, disc'!E5</f>
        <v>0.17</v>
      </c>
      <c r="H18" s="108" t="str">
        <f>'[1]PIA discount calculation'!D23</f>
        <v>OV 1.5</v>
      </c>
      <c r="I18" s="109">
        <f>'Charging RSL Spilt per grade'!AD19</f>
        <v>0</v>
      </c>
      <c r="J18" s="110">
        <f>'RSL new Invoice'!R16</f>
        <v>0</v>
      </c>
    </row>
    <row r="19" spans="1:10" ht="15.75" customHeight="1" x14ac:dyDescent="0.35">
      <c r="G19" s="101"/>
      <c r="H19" s="108" t="str">
        <f>'[1]PIA discount calculation'!D24</f>
        <v>OV Dbl</v>
      </c>
      <c r="I19" s="109">
        <f>'Charging RSL Spilt per grade'!AD20</f>
        <v>0</v>
      </c>
      <c r="J19" s="110">
        <f>'RSL new Invoice'!R17</f>
        <v>0</v>
      </c>
    </row>
    <row r="20" spans="1:10" s="41" customFormat="1" ht="12.75" customHeight="1" x14ac:dyDescent="0.35">
      <c r="A20" s="7" t="s">
        <v>125</v>
      </c>
      <c r="B20" s="3"/>
      <c r="C20" s="3"/>
      <c r="D20" s="29" t="s">
        <v>18</v>
      </c>
      <c r="E20"/>
      <c r="F20" s="106"/>
      <c r="G20" s="101"/>
      <c r="H20" s="108" t="str">
        <f>'[1]PIA discount calculation'!D25</f>
        <v>MHI Single</v>
      </c>
      <c r="I20" s="109">
        <f>'Charging RSL Spilt per grade'!AD21</f>
        <v>0</v>
      </c>
      <c r="J20" s="110">
        <f>'RSL new Invoice'!R18</f>
        <v>0</v>
      </c>
    </row>
    <row r="21" spans="1:10" x14ac:dyDescent="0.35">
      <c r="A21" s="44" t="s">
        <v>19</v>
      </c>
      <c r="B21" s="44" t="s">
        <v>20</v>
      </c>
      <c r="C21" s="44" t="s">
        <v>21</v>
      </c>
      <c r="D21" s="37" t="s">
        <v>135</v>
      </c>
      <c r="E21" s="106"/>
      <c r="G21" s="101"/>
      <c r="H21" s="108" t="str">
        <f>'[1]PIA discount calculation'!D26</f>
        <v>MHI 1.5</v>
      </c>
      <c r="I21" s="109">
        <f>'Charging RSL Spilt per grade'!AD22</f>
        <v>0</v>
      </c>
      <c r="J21" s="110">
        <f>'RSL new Invoice'!R19</f>
        <v>0</v>
      </c>
    </row>
    <row r="22" spans="1:10" x14ac:dyDescent="0.35">
      <c r="A22" s="106" t="s">
        <v>23</v>
      </c>
      <c r="B22" s="106" t="s">
        <v>24</v>
      </c>
      <c r="C22" s="111">
        <f>'Annual data (rates, Bands, disc'!B26</f>
        <v>65.900000000000006</v>
      </c>
      <c r="D22" s="112"/>
      <c r="G22" s="101"/>
      <c r="H22" s="108" t="str">
        <f>'[1]PIA discount calculation'!D27</f>
        <v>MHI Dbl</v>
      </c>
      <c r="I22" s="109">
        <f>'Charging RSL Spilt per grade'!AD23</f>
        <v>0</v>
      </c>
      <c r="J22" s="110">
        <f>'RSL new Invoice'!R20</f>
        <v>0</v>
      </c>
    </row>
    <row r="23" spans="1:10" x14ac:dyDescent="0.35">
      <c r="A23" s="106" t="s">
        <v>23</v>
      </c>
      <c r="B23" s="106" t="s">
        <v>25</v>
      </c>
      <c r="C23" s="111">
        <f>'Annual data (rates, Bands, disc'!B27</f>
        <v>98.850000000000009</v>
      </c>
      <c r="D23" s="113"/>
      <c r="G23" s="93" t="s">
        <v>27</v>
      </c>
      <c r="H23" s="108" t="str">
        <f>'[1]PIA discount calculation'!D30</f>
        <v>OV Single</v>
      </c>
      <c r="I23" s="109">
        <f>'Charging RSL Spilt per grade'!AD24</f>
        <v>0</v>
      </c>
      <c r="J23" s="110">
        <f>'RSL new Invoice'!R21</f>
        <v>0</v>
      </c>
    </row>
    <row r="24" spans="1:10" x14ac:dyDescent="0.35">
      <c r="A24" s="106" t="s">
        <v>23</v>
      </c>
      <c r="B24" s="106" t="s">
        <v>26</v>
      </c>
      <c r="C24" s="111">
        <f>'Annual data (rates, Bands, disc'!B28</f>
        <v>131.80000000000001</v>
      </c>
      <c r="D24" s="113"/>
      <c r="G24" s="94">
        <f>'Annual data (rates, Bands, disc'!E6</f>
        <v>0.06</v>
      </c>
      <c r="H24" s="108" t="str">
        <f>'[1]PIA discount calculation'!D31</f>
        <v>OV 1.5</v>
      </c>
      <c r="I24" s="109">
        <f>'Charging RSL Spilt per grade'!AD25</f>
        <v>0</v>
      </c>
      <c r="J24" s="110">
        <f>'RSL new Invoice'!R22</f>
        <v>0</v>
      </c>
    </row>
    <row r="25" spans="1:10" ht="16" thickBot="1" x14ac:dyDescent="0.4">
      <c r="A25" s="106"/>
      <c r="B25" s="197" t="s">
        <v>28</v>
      </c>
      <c r="C25" s="198"/>
      <c r="D25" s="184">
        <f t="shared" ref="D25" si="0">SUM(D22:D24)</f>
        <v>0</v>
      </c>
      <c r="G25" s="93"/>
      <c r="H25" s="108" t="str">
        <f>'[1]PIA discount calculation'!D32</f>
        <v>OV Dbl</v>
      </c>
      <c r="I25" s="109">
        <f>'Charging RSL Spilt per grade'!AD26</f>
        <v>0</v>
      </c>
      <c r="J25" s="110">
        <f>'RSL new Invoice'!R23</f>
        <v>0</v>
      </c>
    </row>
    <row r="26" spans="1:10" ht="16" thickTop="1" x14ac:dyDescent="0.35">
      <c r="A26" s="106" t="s">
        <v>29</v>
      </c>
      <c r="B26" s="106" t="s">
        <v>24</v>
      </c>
      <c r="C26" s="111">
        <f>'Annual data (rates, Bands, disc'!B29</f>
        <v>43.2</v>
      </c>
      <c r="D26" s="113"/>
      <c r="G26" s="93"/>
      <c r="H26" s="108" t="str">
        <f>'[1]PIA discount calculation'!D33</f>
        <v>MHI Single</v>
      </c>
      <c r="I26" s="109">
        <f>'Charging RSL Spilt per grade'!AD27</f>
        <v>0</v>
      </c>
      <c r="J26" s="110">
        <f>'RSL new Invoice'!R24</f>
        <v>0</v>
      </c>
    </row>
    <row r="27" spans="1:10" x14ac:dyDescent="0.35">
      <c r="A27" s="106" t="s">
        <v>29</v>
      </c>
      <c r="B27" s="106" t="s">
        <v>25</v>
      </c>
      <c r="C27" s="111">
        <f>'Annual data (rates, Bands, disc'!B30</f>
        <v>64.800000000000011</v>
      </c>
      <c r="D27" s="113"/>
      <c r="G27" s="93"/>
      <c r="H27" s="108" t="str">
        <f>'[1]PIA discount calculation'!D34</f>
        <v>MHI 1.5</v>
      </c>
      <c r="I27" s="109">
        <f>'Charging RSL Spilt per grade'!AD28</f>
        <v>0</v>
      </c>
      <c r="J27" s="110">
        <f>'RSL new Invoice'!R25</f>
        <v>0</v>
      </c>
    </row>
    <row r="28" spans="1:10" x14ac:dyDescent="0.35">
      <c r="A28" s="106" t="s">
        <v>29</v>
      </c>
      <c r="B28" s="106" t="s">
        <v>26</v>
      </c>
      <c r="C28" s="111">
        <f>'Annual data (rates, Bands, disc'!B31</f>
        <v>86.4</v>
      </c>
      <c r="D28" s="114"/>
      <c r="G28" s="93"/>
      <c r="H28" s="108" t="str">
        <f>'[1]PIA discount calculation'!D35</f>
        <v>MHI Dbl</v>
      </c>
      <c r="I28" s="109">
        <f>'Charging RSL Spilt per grade'!AD29</f>
        <v>0</v>
      </c>
      <c r="J28" s="110">
        <f>'RSL new Invoice'!R26</f>
        <v>0</v>
      </c>
    </row>
    <row r="29" spans="1:10" ht="16" thickBot="1" x14ac:dyDescent="0.4">
      <c r="A29" s="106"/>
      <c r="B29" s="197" t="s">
        <v>30</v>
      </c>
      <c r="C29" s="198"/>
      <c r="D29" s="127">
        <f>SUM(D26:D28)</f>
        <v>0</v>
      </c>
      <c r="G29" s="95" t="s">
        <v>32</v>
      </c>
      <c r="H29" s="108" t="str">
        <f>'[1]PIA discount calculation'!D38</f>
        <v>OV Single</v>
      </c>
      <c r="I29" s="109">
        <f>'Charging RSL Spilt per grade'!AD30</f>
        <v>0</v>
      </c>
      <c r="J29" s="110">
        <f>'RSL new Invoice'!R27</f>
        <v>0</v>
      </c>
    </row>
    <row r="30" spans="1:10" ht="16.5" thickTop="1" thickBot="1" x14ac:dyDescent="0.4">
      <c r="B30" s="197" t="s">
        <v>31</v>
      </c>
      <c r="C30" s="198"/>
      <c r="D30" s="72">
        <f>D25+D29</f>
        <v>0</v>
      </c>
      <c r="G30" s="96">
        <f>'Annual data (rates, Bands, disc'!E7</f>
        <v>0.04</v>
      </c>
      <c r="H30" s="108" t="str">
        <f>'[1]PIA discount calculation'!D39</f>
        <v>OV 1.5</v>
      </c>
      <c r="I30" s="109">
        <f>'Charging RSL Spilt per grade'!AD31</f>
        <v>0</v>
      </c>
      <c r="J30" s="110">
        <f>'RSL new Invoice'!R28</f>
        <v>0</v>
      </c>
    </row>
    <row r="31" spans="1:10" ht="16" thickTop="1" x14ac:dyDescent="0.35">
      <c r="G31" s="95"/>
      <c r="H31" s="108" t="str">
        <f>'[1]PIA discount calculation'!D40</f>
        <v>OV Dbl</v>
      </c>
      <c r="I31" s="109">
        <f>'Charging RSL Spilt per grade'!AD32</f>
        <v>0</v>
      </c>
      <c r="J31" s="110">
        <f>'RSL new Invoice'!R29</f>
        <v>0</v>
      </c>
    </row>
    <row r="32" spans="1:10" x14ac:dyDescent="0.35">
      <c r="A32" s="7" t="s">
        <v>127</v>
      </c>
      <c r="D32" s="74" t="s">
        <v>136</v>
      </c>
      <c r="G32" s="95"/>
      <c r="H32" s="108" t="str">
        <f>'[1]PIA discount calculation'!D41</f>
        <v>MHI Single</v>
      </c>
      <c r="I32" s="109">
        <f>'Charging RSL Spilt per grade'!AD33</f>
        <v>0</v>
      </c>
      <c r="J32" s="110">
        <f>'RSL new Invoice'!R30</f>
        <v>0</v>
      </c>
    </row>
    <row r="33" spans="1:10" s="41" customFormat="1" x14ac:dyDescent="0.35">
      <c r="A33" s="106"/>
      <c r="B33" s="44" t="s">
        <v>34</v>
      </c>
      <c r="C33" s="44" t="str">
        <f>C21</f>
        <v>Full Cost Charge Rate</v>
      </c>
      <c r="D33" s="75" t="str">
        <f>D21</f>
        <v>RSL</v>
      </c>
      <c r="E33"/>
      <c r="F33" s="106"/>
      <c r="G33" s="95"/>
      <c r="H33" s="108" t="str">
        <f>'[1]PIA discount calculation'!D42</f>
        <v>MHI 1.5</v>
      </c>
      <c r="I33" s="109">
        <f>'Charging RSL Spilt per grade'!AD34</f>
        <v>0</v>
      </c>
      <c r="J33" s="110">
        <f>'RSL new Invoice'!R31</f>
        <v>0</v>
      </c>
    </row>
    <row r="34" spans="1:10" x14ac:dyDescent="0.35">
      <c r="A34" s="106" t="s">
        <v>35</v>
      </c>
      <c r="B34" s="106" t="s">
        <v>36</v>
      </c>
      <c r="C34" s="111">
        <f>'Annual data (rates, Bands, disc'!C12</f>
        <v>38.35</v>
      </c>
      <c r="D34" s="185"/>
      <c r="E34" s="44"/>
      <c r="G34" s="95"/>
      <c r="H34" s="108" t="str">
        <f>'[1]PIA discount calculation'!D43</f>
        <v>MHI Dbl</v>
      </c>
      <c r="I34" s="109">
        <f>'Charging RSL Spilt per grade'!AD35</f>
        <v>0</v>
      </c>
      <c r="J34" s="110">
        <f>'RSL new Invoice'!R32</f>
        <v>0</v>
      </c>
    </row>
    <row r="35" spans="1:10" x14ac:dyDescent="0.35">
      <c r="A35" s="106" t="s">
        <v>37</v>
      </c>
      <c r="B35" s="106" t="s">
        <v>38</v>
      </c>
      <c r="C35" s="111">
        <f>'Annual data (rates, Bands, disc'!C13</f>
        <v>130.9</v>
      </c>
      <c r="D35" s="186"/>
      <c r="G35" s="97" t="s">
        <v>40</v>
      </c>
      <c r="H35" s="108" t="str">
        <f>'[1]PIA discount calculation'!D46</f>
        <v>OV Single</v>
      </c>
      <c r="I35" s="109">
        <f>'Charging RSL Spilt per grade'!AD36</f>
        <v>0</v>
      </c>
      <c r="J35" s="110">
        <f>'RSL new Invoice'!R33</f>
        <v>0</v>
      </c>
    </row>
    <row r="36" spans="1:10" x14ac:dyDescent="0.35">
      <c r="A36" s="106" t="s">
        <v>37</v>
      </c>
      <c r="B36" s="106" t="s">
        <v>39</v>
      </c>
      <c r="C36" s="111">
        <f>'Annual data (rates, Bands, disc'!C14</f>
        <v>130.9</v>
      </c>
      <c r="D36" s="186"/>
      <c r="G36" s="98">
        <f>'Annual data (rates, Bands, disc'!E8</f>
        <v>0.02</v>
      </c>
      <c r="H36" s="108" t="str">
        <f>'[1]PIA discount calculation'!D47</f>
        <v>OV 1.5</v>
      </c>
      <c r="I36" s="109">
        <f>'Charging RSL Spilt per grade'!AD37</f>
        <v>0</v>
      </c>
      <c r="J36" s="110">
        <f>'RSL new Invoice'!R34</f>
        <v>0</v>
      </c>
    </row>
    <row r="37" spans="1:10" x14ac:dyDescent="0.35">
      <c r="A37" s="106" t="s">
        <v>41</v>
      </c>
      <c r="B37" s="106" t="s">
        <v>42</v>
      </c>
      <c r="C37" s="111">
        <f>'Annual data (rates, Bands, disc'!C15</f>
        <v>62.05</v>
      </c>
      <c r="D37" s="186"/>
      <c r="E37" s="106"/>
      <c r="G37" s="97"/>
      <c r="H37" s="108" t="str">
        <f>'[1]PIA discount calculation'!D48</f>
        <v>OV Dbl</v>
      </c>
      <c r="I37" s="109">
        <f>'Charging RSL Spilt per grade'!AD38</f>
        <v>0</v>
      </c>
      <c r="J37" s="110">
        <f>'RSL new Invoice'!R35</f>
        <v>0</v>
      </c>
    </row>
    <row r="38" spans="1:10" x14ac:dyDescent="0.35">
      <c r="A38" s="106" t="s">
        <v>43</v>
      </c>
      <c r="B38" s="106" t="s">
        <v>44</v>
      </c>
      <c r="C38" s="111">
        <f>'Annual data (rates, Bands, disc'!C16</f>
        <v>39.700000000000003</v>
      </c>
      <c r="D38" s="186"/>
      <c r="G38" s="102"/>
      <c r="H38" s="108" t="str">
        <f>'[1]PIA discount calculation'!D49</f>
        <v>MHI Single</v>
      </c>
      <c r="I38" s="109">
        <f>'Charging RSL Spilt per grade'!AD39</f>
        <v>0</v>
      </c>
      <c r="J38" s="110">
        <f>'RSL new Invoice'!R36</f>
        <v>0</v>
      </c>
    </row>
    <row r="39" spans="1:10" x14ac:dyDescent="0.35">
      <c r="A39" s="106" t="s">
        <v>45</v>
      </c>
      <c r="B39" s="106" t="s">
        <v>46</v>
      </c>
      <c r="C39" s="111">
        <f>'Annual data (rates, Bands, disc'!C17</f>
        <v>21.25</v>
      </c>
      <c r="D39" s="186"/>
      <c r="G39" s="102"/>
      <c r="H39" s="108" t="str">
        <f>'[1]PIA discount calculation'!D50</f>
        <v>MHI 1.5</v>
      </c>
      <c r="I39" s="109">
        <f>'Charging RSL Spilt per grade'!AD40</f>
        <v>0</v>
      </c>
      <c r="J39" s="110">
        <f>'RSL new Invoice'!R37</f>
        <v>0</v>
      </c>
    </row>
    <row r="40" spans="1:10" x14ac:dyDescent="0.35">
      <c r="A40" s="106" t="s">
        <v>43</v>
      </c>
      <c r="B40" s="106" t="s">
        <v>47</v>
      </c>
      <c r="C40" s="111">
        <f>'Annual data (rates, Bands, disc'!C18</f>
        <v>39.700000000000003</v>
      </c>
      <c r="D40" s="186"/>
      <c r="G40" s="102"/>
      <c r="H40" s="108" t="str">
        <f>'[1]PIA discount calculation'!D51</f>
        <v>MHI Dbl</v>
      </c>
      <c r="I40" s="109">
        <f>'Charging RSL Spilt per grade'!AD41</f>
        <v>0</v>
      </c>
      <c r="J40" s="110">
        <f>'RSL new Invoice'!R38</f>
        <v>0</v>
      </c>
    </row>
    <row r="41" spans="1:10" x14ac:dyDescent="0.35">
      <c r="A41" s="106" t="s">
        <v>45</v>
      </c>
      <c r="B41" s="106" t="s">
        <v>48</v>
      </c>
      <c r="C41" s="111">
        <f>'Annual data (rates, Bands, disc'!C19</f>
        <v>21.25</v>
      </c>
      <c r="D41" s="186"/>
      <c r="G41" s="53" t="s">
        <v>49</v>
      </c>
      <c r="H41" s="53"/>
      <c r="I41" s="3"/>
      <c r="J41" s="54">
        <f>'RSL new Invoice'!R41</f>
        <v>0</v>
      </c>
    </row>
    <row r="42" spans="1:10" x14ac:dyDescent="0.35">
      <c r="A42" s="106" t="s">
        <v>159</v>
      </c>
      <c r="B42" s="106" t="s">
        <v>158</v>
      </c>
      <c r="C42" s="111">
        <f>'Annual data (rates, Bands, disc'!C20</f>
        <v>21.25</v>
      </c>
      <c r="D42" s="186"/>
      <c r="G42" s="3" t="s">
        <v>50</v>
      </c>
      <c r="H42" s="3"/>
      <c r="I42" s="3"/>
      <c r="J42" s="54">
        <f>SUM(J5:J41)</f>
        <v>0</v>
      </c>
    </row>
    <row r="43" spans="1:10" x14ac:dyDescent="0.35">
      <c r="A43" s="106" t="s">
        <v>137</v>
      </c>
      <c r="B43" s="106" t="s">
        <v>138</v>
      </c>
      <c r="C43" s="111">
        <f>'Annual data (rates, Bands, disc'!C21</f>
        <v>450</v>
      </c>
      <c r="D43" s="186"/>
      <c r="G43" s="3" t="s">
        <v>52</v>
      </c>
      <c r="H43" s="3"/>
      <c r="I43" s="109">
        <f>D48*52</f>
        <v>0</v>
      </c>
      <c r="J43" s="54">
        <f>I43*C48</f>
        <v>0</v>
      </c>
    </row>
    <row r="44" spans="1:10" x14ac:dyDescent="0.35">
      <c r="A44" s="106" t="s">
        <v>139</v>
      </c>
      <c r="B44" s="106" t="s">
        <v>140</v>
      </c>
      <c r="C44" s="111">
        <f>'Annual data (rates, Bands, disc'!C22</f>
        <v>175</v>
      </c>
      <c r="D44" s="187"/>
      <c r="G44" s="7" t="s">
        <v>53</v>
      </c>
      <c r="H44" s="7"/>
      <c r="I44" s="7"/>
      <c r="J44" s="105">
        <f>SUM(J42:J43)</f>
        <v>0</v>
      </c>
    </row>
    <row r="45" spans="1:10" ht="15" customHeight="1" x14ac:dyDescent="0.35">
      <c r="D45" s="107">
        <f>SUM(D34:D44)</f>
        <v>0</v>
      </c>
      <c r="G45" s="3"/>
      <c r="H45" s="3"/>
      <c r="I45" s="3"/>
      <c r="J45" s="55"/>
    </row>
    <row r="46" spans="1:10" x14ac:dyDescent="0.35">
      <c r="A46" s="106"/>
      <c r="B46" s="117"/>
      <c r="C46" s="111"/>
      <c r="D46" s="188"/>
      <c r="G46" s="3"/>
      <c r="H46" s="3"/>
      <c r="I46" s="3"/>
      <c r="J46" s="55"/>
    </row>
    <row r="47" spans="1:10" x14ac:dyDescent="0.35">
      <c r="A47" s="7" t="s">
        <v>14</v>
      </c>
      <c r="D47" s="83" t="s">
        <v>51</v>
      </c>
      <c r="G47" s="3"/>
      <c r="H47" s="3"/>
      <c r="I47" s="3"/>
      <c r="J47" s="55"/>
    </row>
    <row r="48" spans="1:10" ht="16" thickBot="1" x14ac:dyDescent="0.4">
      <c r="A48" s="106" t="s">
        <v>23</v>
      </c>
      <c r="B48" s="106" t="s">
        <v>24</v>
      </c>
      <c r="C48" s="111">
        <f>'Annual data (rates, Bands, disc'!B36</f>
        <v>65.900000000000006</v>
      </c>
      <c r="D48" s="187"/>
      <c r="J48" s="15"/>
    </row>
    <row r="49" spans="1:10" ht="16" thickBot="1" x14ac:dyDescent="0.4">
      <c r="B49" s="197" t="s">
        <v>128</v>
      </c>
      <c r="C49" s="198"/>
      <c r="D49" s="51">
        <f>SUM(D48)</f>
        <v>0</v>
      </c>
      <c r="G49" s="56"/>
      <c r="H49" s="57"/>
      <c r="I49" s="57"/>
      <c r="J49" s="58"/>
    </row>
    <row r="50" spans="1:10" ht="21" customHeight="1" thickTop="1" x14ac:dyDescent="0.35">
      <c r="G50" s="60" t="str">
        <f>'Game Handling Establishments'!G48</f>
        <v>Estimated annual FSA charge</v>
      </c>
      <c r="H50" s="54">
        <f>J44</f>
        <v>0</v>
      </c>
      <c r="I50" s="219" t="s">
        <v>58</v>
      </c>
      <c r="J50" s="220"/>
    </row>
    <row r="51" spans="1:10" x14ac:dyDescent="0.35">
      <c r="G51" s="60"/>
      <c r="I51" s="219"/>
      <c r="J51" s="220"/>
    </row>
    <row r="52" spans="1:10" ht="24" customHeight="1" x14ac:dyDescent="0.35">
      <c r="A52" s="6" t="s">
        <v>55</v>
      </c>
      <c r="B52" s="117"/>
      <c r="C52" s="111"/>
      <c r="D52" s="188"/>
      <c r="G52" s="60"/>
      <c r="I52" s="219"/>
      <c r="J52" s="220"/>
    </row>
    <row r="53" spans="1:10" x14ac:dyDescent="0.35">
      <c r="A53" s="59" t="s">
        <v>56</v>
      </c>
      <c r="B53" s="117"/>
      <c r="C53" s="111"/>
      <c r="D53" s="188"/>
      <c r="G53" s="60" t="str">
        <f>'Game Handling Establishments'!G51</f>
        <v>Estimated monthly FSA charge</v>
      </c>
      <c r="H53" s="54">
        <f>H50/12</f>
        <v>0</v>
      </c>
      <c r="I53" s="194" t="s">
        <v>63</v>
      </c>
      <c r="J53" s="195"/>
    </row>
    <row r="54" spans="1:10" x14ac:dyDescent="0.35">
      <c r="A54" t="s">
        <v>59</v>
      </c>
      <c r="B54" s="44"/>
      <c r="C54" s="44"/>
      <c r="D54" s="76"/>
      <c r="G54" s="60"/>
      <c r="I54" s="194"/>
      <c r="J54" s="195"/>
    </row>
    <row r="55" spans="1:10" x14ac:dyDescent="0.35">
      <c r="A55" s="59" t="s">
        <v>60</v>
      </c>
      <c r="G55" s="60"/>
      <c r="I55" s="194"/>
      <c r="J55" s="195"/>
    </row>
    <row r="56" spans="1:10" x14ac:dyDescent="0.35">
      <c r="A56" s="59" t="s">
        <v>61</v>
      </c>
      <c r="G56" s="60" t="str">
        <f>'Game Handling Establishments'!G54</f>
        <v>Estimated weekly FSA charge</v>
      </c>
      <c r="H56" s="54">
        <f>H50/52</f>
        <v>0</v>
      </c>
      <c r="I56" s="86"/>
      <c r="J56" s="87"/>
    </row>
    <row r="57" spans="1:10" ht="16" thickBot="1" x14ac:dyDescent="0.4">
      <c r="A57" s="59" t="s">
        <v>64</v>
      </c>
      <c r="G57" s="61"/>
      <c r="H57" s="62"/>
      <c r="I57" s="62"/>
      <c r="J57" s="77"/>
    </row>
    <row r="58" spans="1:10" ht="15" customHeight="1" x14ac:dyDescent="0.35">
      <c r="A58" t="s">
        <v>65</v>
      </c>
    </row>
    <row r="59" spans="1:10" x14ac:dyDescent="0.35">
      <c r="A59" s="59" t="s">
        <v>163</v>
      </c>
    </row>
    <row r="61" spans="1:10" ht="15" customHeight="1" x14ac:dyDescent="0.35"/>
    <row r="64" spans="1:10" ht="15" customHeight="1" x14ac:dyDescent="0.35"/>
    <row r="65" ht="15" customHeight="1" x14ac:dyDescent="0.35"/>
  </sheetData>
  <sheetProtection algorithmName="SHA-512" hashValue="fDgHFGvNK91bvz7mH02i7bzORmUSvRmZysSn2AviF/iw/QlTbODw/GEitstxEF/0GWRaniVe65DqB4L2yMRLBw==" saltValue="t8/OqSwzZyWWaIrNXs3K2w==" spinCount="100000" sheet="1" selectLockedCells="1"/>
  <protectedRanges>
    <protectedRange password="822E" sqref="D26:D28" name="MHI hours"/>
    <protectedRange password="822E" sqref="D22:D24" name="OV hours"/>
    <protectedRange password="822E" sqref="D34:D44" name="Allowances"/>
    <protectedRange sqref="D48" name="Nonregulated"/>
  </protectedRanges>
  <mergeCells count="7">
    <mergeCell ref="I50:J52"/>
    <mergeCell ref="I53:J55"/>
    <mergeCell ref="I3:J3"/>
    <mergeCell ref="B25:C25"/>
    <mergeCell ref="B29:C29"/>
    <mergeCell ref="B30:C30"/>
    <mergeCell ref="B49:C49"/>
  </mergeCells>
  <pageMargins left="0.7" right="0.7" top="0.75" bottom="0.75" header="0.3" footer="0.3"/>
  <pageSetup paperSize="9" scale="43" orientation="portrait" r:id="rId1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682C1899E70E4AA0FE47AB1BC5D572" ma:contentTypeVersion="4" ma:contentTypeDescription="Create a new document." ma:contentTypeScope="" ma:versionID="824465c981257f6cdbaf06a04885d831">
  <xsd:schema xmlns:xsd="http://www.w3.org/2001/XMLSchema" xmlns:xs="http://www.w3.org/2001/XMLSchema" xmlns:p="http://schemas.microsoft.com/office/2006/metadata/properties" xmlns:ns2="4c6be724-cff3-4ca5-9a46-9f5385095e2a" targetNamespace="http://schemas.microsoft.com/office/2006/metadata/properties" ma:root="true" ma:fieldsID="3982a8a49e21956f0c9e1c2cfce684e0" ns2:_="">
    <xsd:import namespace="4c6be724-cff3-4ca5-9a46-9f5385095e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be724-cff3-4ca5-9a46-9f538509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7086F5-0287-4344-B56D-EB2E8EE65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be724-cff3-4ca5-9a46-9f5385095e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098300-5738-4496-993D-7B1E40039C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5EF049-74CB-445D-9241-209A808AB193}">
  <ds:schemaRefs>
    <ds:schemaRef ds:uri="http://purl.org/dc/terms/"/>
    <ds:schemaRef ds:uri="http://purl.org/dc/elements/1.1/"/>
    <ds:schemaRef ds:uri="http://purl.org/dc/dcmitype/"/>
    <ds:schemaRef ds:uri="4c6be724-cff3-4ca5-9a46-9f5385095e2a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62c5af45-49b1-4e82-8c99-e72305b77457}" enabled="1" method="Privileged" siteId="{8a1c50f9-01b7-4c8a-a6fa-90eb906f18e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Game Handling Establishments</vt:lpstr>
      <vt:lpstr>Period GHE data</vt:lpstr>
      <vt:lpstr>Charging GHE Spilt per grade</vt:lpstr>
      <vt:lpstr>GHE Invoice</vt:lpstr>
      <vt:lpstr>Poultry Slaughterhouse</vt:lpstr>
      <vt:lpstr>Period PSL data</vt:lpstr>
      <vt:lpstr>PSL discount calculation</vt:lpstr>
      <vt:lpstr>PSL Invoice </vt:lpstr>
      <vt:lpstr>Red Meat Slaughterhouse</vt:lpstr>
      <vt:lpstr>Period RSL data</vt:lpstr>
      <vt:lpstr>Charging RSL Spilt per grade</vt:lpstr>
      <vt:lpstr>RSL new Invoice</vt:lpstr>
      <vt:lpstr>Annual data (rates, Bands, disc</vt:lpstr>
    </vt:vector>
  </TitlesOfParts>
  <Manager/>
  <Company>FSA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Charges Discount Estimator 2021-22 by sector</dc:title>
  <dc:subject/>
  <dc:creator>Woods, Rob</dc:creator>
  <cp:keywords/>
  <dc:description/>
  <cp:lastModifiedBy>Neil Chappell</cp:lastModifiedBy>
  <cp:revision/>
  <dcterms:created xsi:type="dcterms:W3CDTF">2015-07-22T13:28:10Z</dcterms:created>
  <dcterms:modified xsi:type="dcterms:W3CDTF">2025-02-24T13:50:53Z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0x01010025682C1899E70E4AA0FE47AB1BC5D572</vt:lpwstr>
  </property>
  <property fmtid="{D5CDD505-2E9C-101B-9397-08002B2CF9AE}" pid="3" name="Order">
    <vt:r8>100</vt:r8>
  </property>
  <property fmtid="{D5CDD505-2E9C-101B-9397-08002B2CF9AE}" pid="4" name="Information Type">
    <vt:lpwstr>1;#Indefinite|c5e5d950-3b23-4d74-b7b6-bce9c29a52bb</vt:lpwstr>
  </property>
  <property fmtid="{D5CDD505-2E9C-101B-9397-08002B2CF9AE}" pid="5" name="SharedWithUsers">
    <vt:lpwstr>1497;#Sophie Whitbread</vt:lpwstr>
  </property>
  <property fmtid="{D5CDD505-2E9C-101B-9397-08002B2CF9AE}" pid="6" name="MediaServiceImageTags">
    <vt:lpwstr/>
  </property>
  <property fmtid="{D5CDD505-2E9C-101B-9397-08002B2CF9AE}" pid="7" name="lcf76f155ced4ddcb4097134ff3c332f">
    <vt:lpwstr/>
  </property>
</Properties>
</file>